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OneDrive\Desktop\BEEAH Personal Folder\EMFT\Mubadala Nov 2024\Day 1\"/>
    </mc:Choice>
  </mc:AlternateContent>
  <xr:revisionPtr revIDLastSave="0" documentId="13_ncr:1_{2C766D25-6707-467C-9F4C-BD8746170F39}" xr6:coauthVersionLast="47" xr6:coauthVersionMax="47" xr10:uidLastSave="{00000000-0000-0000-0000-000000000000}"/>
  <bookViews>
    <workbookView xWindow="-110" yWindow="-110" windowWidth="19420" windowHeight="10300" tabRatio="734" activeTab="1" xr2:uid="{00000000-000D-0000-FFFF-FFFF00000000}"/>
  </bookViews>
  <sheets>
    <sheet name="Cash Flow Table" sheetId="33" r:id="rId1"/>
    <sheet name="Macers Corp" sheetId="26" r:id="rId2"/>
    <sheet name="Macers Cas Flow - Direct" sheetId="31" r:id="rId3"/>
    <sheet name="Kelly Corp" sheetId="27" r:id="rId4"/>
    <sheet name="Kelly Cash Flow" sheetId="32" r:id="rId5"/>
    <sheet name="Macers Vs Kelly" sheetId="28" r:id="rId6"/>
    <sheet name="Cola Inc." sheetId="6" state="hidden" r:id="rId7"/>
    <sheet name="Cola Inc. v2" sheetId="13" state="hidden" r:id="rId8"/>
    <sheet name="Blue Inc." sheetId="8" state="hidden" r:id="rId9"/>
    <sheet name="Blue Inc. v2" sheetId="14" state="hidden" r:id="rId10"/>
    <sheet name="Blue Vs Cola" sheetId="17" state="hidden" r:id="rId11"/>
    <sheet name="TVM" sheetId="9" state="hidden" r:id="rId12"/>
    <sheet name="Starbucks" sheetId="10" state="hidden" r:id="rId13"/>
    <sheet name="CF Comparison Ex 1" sheetId="15" state="hidden" r:id="rId14"/>
    <sheet name="CF Comparison Ex 2" sheetId="16" state="hidden" r:id="rId15"/>
    <sheet name="STC" sheetId="18" state="hidden" r:id="rId16"/>
    <sheet name="Zain" sheetId="19" state="hidden" r:id="rId17"/>
    <sheet name="STC Vs Zain" sheetId="20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26" l="1"/>
  <c r="Y17" i="26"/>
  <c r="Y16" i="26"/>
  <c r="Y15" i="26"/>
  <c r="Y10" i="26"/>
  <c r="Y9" i="26"/>
  <c r="Y8" i="26"/>
  <c r="Y7" i="26"/>
  <c r="Y6" i="26"/>
  <c r="Y5" i="26"/>
  <c r="T15" i="26"/>
  <c r="T14" i="26"/>
  <c r="T13" i="26"/>
  <c r="T12" i="26"/>
  <c r="T11" i="26"/>
  <c r="T9" i="26"/>
  <c r="T8" i="26"/>
  <c r="T7" i="26"/>
  <c r="T6" i="26"/>
  <c r="T5" i="26"/>
  <c r="D17" i="26"/>
  <c r="D10" i="26"/>
  <c r="D19" i="26" s="1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F24" i="28"/>
  <c r="F23" i="28"/>
  <c r="F22" i="28"/>
  <c r="F21" i="28"/>
  <c r="F15" i="28"/>
  <c r="F19" i="28"/>
  <c r="F18" i="28"/>
  <c r="F16" i="28"/>
  <c r="F14" i="28"/>
  <c r="F12" i="28"/>
  <c r="F11" i="28"/>
  <c r="F7" i="28"/>
  <c r="F8" i="28"/>
  <c r="F9" i="28"/>
  <c r="F6" i="28"/>
  <c r="E22" i="28"/>
  <c r="E23" i="28"/>
  <c r="E24" i="28"/>
  <c r="E21" i="28"/>
  <c r="E19" i="28"/>
  <c r="E18" i="28"/>
  <c r="E15" i="28"/>
  <c r="E16" i="28"/>
  <c r="E14" i="28"/>
  <c r="E12" i="28"/>
  <c r="E11" i="28"/>
  <c r="E7" i="28"/>
  <c r="E8" i="28"/>
  <c r="E9" i="28"/>
  <c r="E6" i="28"/>
  <c r="G15" i="32"/>
  <c r="AC23" i="26"/>
  <c r="AC22" i="26"/>
  <c r="AC21" i="26"/>
  <c r="T10" i="26" l="1"/>
  <c r="P12" i="27"/>
  <c r="P34" i="27"/>
  <c r="P36" i="27" s="1"/>
  <c r="P20" i="27" s="1"/>
  <c r="P21" i="27" s="1"/>
  <c r="Q34" i="27"/>
  <c r="Q36" i="27" s="1"/>
  <c r="P23" i="27" l="1"/>
  <c r="T13" i="27"/>
  <c r="D68" i="27" l="1"/>
  <c r="H23" i="28" s="1"/>
  <c r="D67" i="27"/>
  <c r="H22" i="28" s="1"/>
  <c r="D66" i="27"/>
  <c r="H21" i="28" s="1"/>
  <c r="D69" i="27" l="1"/>
  <c r="H24" i="28" s="1"/>
  <c r="Y21" i="26"/>
  <c r="D16" i="32" l="1"/>
  <c r="C16" i="32"/>
  <c r="B16" i="32"/>
  <c r="G16" i="32" s="1"/>
  <c r="G17" i="32" s="1"/>
  <c r="C17" i="31"/>
  <c r="D17" i="31"/>
  <c r="B17" i="31"/>
  <c r="G17" i="31" s="1"/>
  <c r="G18" i="31" s="1"/>
  <c r="A3" i="3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D48" i="27"/>
  <c r="D47" i="27"/>
  <c r="D45" i="27"/>
  <c r="D44" i="27"/>
  <c r="D41" i="27"/>
  <c r="D40" i="27"/>
  <c r="D39" i="27"/>
  <c r="D51" i="27" l="1"/>
  <c r="H6" i="28" s="1"/>
  <c r="D64" i="27"/>
  <c r="H19" i="28" s="1"/>
  <c r="D63" i="27"/>
  <c r="H18" i="28" s="1"/>
  <c r="D42" i="27"/>
  <c r="D61" i="27"/>
  <c r="H16" i="28" s="1"/>
  <c r="D52" i="27"/>
  <c r="H7" i="28" s="1"/>
  <c r="D46" i="27"/>
  <c r="D59" i="27"/>
  <c r="H14" i="28" s="1"/>
  <c r="D60" i="27"/>
  <c r="H15" i="28" s="1"/>
  <c r="F28" i="26"/>
  <c r="D56" i="27" l="1"/>
  <c r="H11" i="28" s="1"/>
  <c r="D53" i="27"/>
  <c r="H8" i="28" s="1"/>
  <c r="T27" i="27" l="1"/>
  <c r="T68" i="27" s="1"/>
  <c r="I23" i="28" s="1"/>
  <c r="T28" i="27"/>
  <c r="T29" i="27"/>
  <c r="T30" i="27"/>
  <c r="T31" i="27"/>
  <c r="T32" i="27"/>
  <c r="T14" i="27"/>
  <c r="T15" i="27"/>
  <c r="T16" i="27"/>
  <c r="T17" i="27"/>
  <c r="T18" i="27"/>
  <c r="T19" i="27"/>
  <c r="T9" i="27"/>
  <c r="T10" i="27"/>
  <c r="T11" i="27"/>
  <c r="T44" i="27" l="1"/>
  <c r="T35" i="27"/>
  <c r="T26" i="27"/>
  <c r="T29" i="26"/>
  <c r="T23" i="26"/>
  <c r="T24" i="26"/>
  <c r="T25" i="26"/>
  <c r="T26" i="26"/>
  <c r="T27" i="26"/>
  <c r="T22" i="26"/>
  <c r="R34" i="27"/>
  <c r="R36" i="27" s="1"/>
  <c r="R20" i="27" s="1"/>
  <c r="R21" i="27" s="1"/>
  <c r="Q20" i="27"/>
  <c r="Q21" i="27" s="1"/>
  <c r="N34" i="27"/>
  <c r="N36" i="27" s="1"/>
  <c r="N20" i="27" s="1"/>
  <c r="N21" i="27" s="1"/>
  <c r="O34" i="27"/>
  <c r="O36" i="27" s="1"/>
  <c r="O20" i="27" s="1"/>
  <c r="O21" i="27" s="1"/>
  <c r="M34" i="27"/>
  <c r="M36" i="27" s="1"/>
  <c r="M20" i="27" s="1"/>
  <c r="M21" i="27" s="1"/>
  <c r="L34" i="27"/>
  <c r="L36" i="27" s="1"/>
  <c r="L20" i="27" s="1"/>
  <c r="L21" i="27" s="1"/>
  <c r="K34" i="27"/>
  <c r="K36" i="27" s="1"/>
  <c r="K20" i="27" s="1"/>
  <c r="K21" i="27" s="1"/>
  <c r="J34" i="27"/>
  <c r="J36" i="27" s="1"/>
  <c r="J20" i="27" s="1"/>
  <c r="J21" i="27" s="1"/>
  <c r="I34" i="27"/>
  <c r="I36" i="27" s="1"/>
  <c r="I20" i="27" s="1"/>
  <c r="I21" i="27" s="1"/>
  <c r="H34" i="27"/>
  <c r="H36" i="27" s="1"/>
  <c r="H20" i="27" s="1"/>
  <c r="H21" i="27" s="1"/>
  <c r="G34" i="27"/>
  <c r="G36" i="27" s="1"/>
  <c r="G20" i="27" s="1"/>
  <c r="G21" i="27" s="1"/>
  <c r="F34" i="27"/>
  <c r="F36" i="27" s="1"/>
  <c r="F20" i="27" s="1"/>
  <c r="F21" i="27" s="1"/>
  <c r="E34" i="27"/>
  <c r="E36" i="27" s="1"/>
  <c r="E20" i="27" s="1"/>
  <c r="D34" i="27"/>
  <c r="Z29" i="27"/>
  <c r="D21" i="27"/>
  <c r="R12" i="27"/>
  <c r="Q12" i="27"/>
  <c r="N12" i="27"/>
  <c r="O12" i="27"/>
  <c r="M12" i="27"/>
  <c r="L12" i="27"/>
  <c r="K12" i="27"/>
  <c r="J12" i="27"/>
  <c r="I12" i="27"/>
  <c r="H12" i="27"/>
  <c r="G12" i="27"/>
  <c r="F12" i="27"/>
  <c r="E12" i="27"/>
  <c r="D12" i="27"/>
  <c r="T8" i="27"/>
  <c r="T7" i="27"/>
  <c r="Z5" i="27"/>
  <c r="F5" i="27"/>
  <c r="G5" i="27" s="1"/>
  <c r="H5" i="27" s="1"/>
  <c r="I5" i="27" s="1"/>
  <c r="J5" i="27" s="1"/>
  <c r="K5" i="27" s="1"/>
  <c r="L5" i="27" s="1"/>
  <c r="M5" i="27" s="1"/>
  <c r="N5" i="27" s="1"/>
  <c r="O5" i="27" s="1"/>
  <c r="P5" i="27" s="1"/>
  <c r="Q5" i="27" s="1"/>
  <c r="R5" i="27" s="1"/>
  <c r="S5" i="27" s="1"/>
  <c r="Z27" i="27" l="1"/>
  <c r="T67" i="27"/>
  <c r="I22" i="28" s="1"/>
  <c r="Q23" i="27"/>
  <c r="T66" i="27"/>
  <c r="I21" i="28" s="1"/>
  <c r="S33" i="27"/>
  <c r="T41" i="27"/>
  <c r="T39" i="27"/>
  <c r="T40" i="27"/>
  <c r="D36" i="27"/>
  <c r="D43" i="27"/>
  <c r="T48" i="27"/>
  <c r="I23" i="27"/>
  <c r="R23" i="27"/>
  <c r="D23" i="27"/>
  <c r="H23" i="27"/>
  <c r="K23" i="27"/>
  <c r="J23" i="27"/>
  <c r="G23" i="27"/>
  <c r="N23" i="27"/>
  <c r="E21" i="27"/>
  <c r="E23" i="27" s="1"/>
  <c r="L23" i="27"/>
  <c r="M23" i="27"/>
  <c r="F23" i="27"/>
  <c r="O23" i="27"/>
  <c r="S28" i="26"/>
  <c r="S30" i="26" s="1"/>
  <c r="S16" i="26" s="1"/>
  <c r="S17" i="26" s="1"/>
  <c r="S19" i="26" s="1"/>
  <c r="R28" i="26"/>
  <c r="R30" i="26" s="1"/>
  <c r="R16" i="26" s="1"/>
  <c r="R17" i="26" s="1"/>
  <c r="R19" i="26" s="1"/>
  <c r="Q28" i="26"/>
  <c r="Q30" i="26" s="1"/>
  <c r="Q16" i="26" s="1"/>
  <c r="Q17" i="26" s="1"/>
  <c r="Q19" i="26" s="1"/>
  <c r="P28" i="26"/>
  <c r="P30" i="26" s="1"/>
  <c r="P16" i="26" s="1"/>
  <c r="P17" i="26" s="1"/>
  <c r="P19" i="26" s="1"/>
  <c r="O28" i="26"/>
  <c r="O30" i="26" s="1"/>
  <c r="O16" i="26" s="1"/>
  <c r="O17" i="26" s="1"/>
  <c r="O19" i="26" s="1"/>
  <c r="N28" i="26"/>
  <c r="N30" i="26" s="1"/>
  <c r="N16" i="26" s="1"/>
  <c r="N17" i="26" s="1"/>
  <c r="N19" i="26" s="1"/>
  <c r="M28" i="26"/>
  <c r="M30" i="26" s="1"/>
  <c r="M16" i="26" s="1"/>
  <c r="M17" i="26" s="1"/>
  <c r="M19" i="26" s="1"/>
  <c r="L28" i="26"/>
  <c r="L30" i="26" s="1"/>
  <c r="L16" i="26" s="1"/>
  <c r="L17" i="26" s="1"/>
  <c r="L19" i="26" s="1"/>
  <c r="K28" i="26"/>
  <c r="K30" i="26" s="1"/>
  <c r="K16" i="26" s="1"/>
  <c r="K17" i="26" s="1"/>
  <c r="K19" i="26" s="1"/>
  <c r="J28" i="26"/>
  <c r="J30" i="26" s="1"/>
  <c r="J16" i="26" s="1"/>
  <c r="J17" i="26" s="1"/>
  <c r="J19" i="26" s="1"/>
  <c r="I28" i="26"/>
  <c r="I30" i="26" s="1"/>
  <c r="I16" i="26" s="1"/>
  <c r="I17" i="26" s="1"/>
  <c r="I19" i="26" s="1"/>
  <c r="H28" i="26"/>
  <c r="H30" i="26" s="1"/>
  <c r="H16" i="26" s="1"/>
  <c r="H17" i="26" s="1"/>
  <c r="H19" i="26" s="1"/>
  <c r="G28" i="26"/>
  <c r="G30" i="26" s="1"/>
  <c r="G16" i="26" s="1"/>
  <c r="G17" i="26" s="1"/>
  <c r="G19" i="26" s="1"/>
  <c r="F30" i="26"/>
  <c r="F16" i="26" s="1"/>
  <c r="F17" i="26" s="1"/>
  <c r="F19" i="26" s="1"/>
  <c r="E28" i="26"/>
  <c r="E30" i="26" s="1"/>
  <c r="E16" i="26" s="1"/>
  <c r="D28" i="26"/>
  <c r="T28" i="26"/>
  <c r="Y19" i="26"/>
  <c r="Y14" i="26"/>
  <c r="Y4" i="26"/>
  <c r="F4" i="26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E17" i="26" l="1"/>
  <c r="T16" i="26"/>
  <c r="T69" i="27"/>
  <c r="I24" i="28" s="1"/>
  <c r="Y11" i="26"/>
  <c r="Y22" i="26" s="1"/>
  <c r="Y23" i="26" s="1"/>
  <c r="Y25" i="26" s="1"/>
  <c r="T6" i="27"/>
  <c r="S12" i="27"/>
  <c r="Z23" i="27"/>
  <c r="T33" i="27"/>
  <c r="T34" i="27" s="1"/>
  <c r="Z17" i="27" s="1"/>
  <c r="S34" i="27"/>
  <c r="S36" i="27" s="1"/>
  <c r="T51" i="27"/>
  <c r="I6" i="28" s="1"/>
  <c r="D54" i="27"/>
  <c r="H9" i="28" s="1"/>
  <c r="D57" i="27"/>
  <c r="H12" i="28" s="1"/>
  <c r="T42" i="27"/>
  <c r="T59" i="27"/>
  <c r="I14" i="28" s="1"/>
  <c r="T61" i="27"/>
  <c r="I16" i="28" s="1"/>
  <c r="T52" i="27"/>
  <c r="I7" i="28" s="1"/>
  <c r="D30" i="26"/>
  <c r="T30" i="26"/>
  <c r="T17" i="26" l="1"/>
  <c r="T19" i="26" s="1"/>
  <c r="E19" i="26"/>
  <c r="Z30" i="27"/>
  <c r="Z31" i="27" s="1"/>
  <c r="Z33" i="27" s="1"/>
  <c r="T43" i="27"/>
  <c r="T54" i="27" s="1"/>
  <c r="I9" i="28" s="1"/>
  <c r="T47" i="27"/>
  <c r="T12" i="27"/>
  <c r="S20" i="27"/>
  <c r="T36" i="27"/>
  <c r="T53" i="27"/>
  <c r="I8" i="28" s="1"/>
  <c r="E90" i="19"/>
  <c r="T64" i="27" l="1"/>
  <c r="I19" i="28" s="1"/>
  <c r="T63" i="27"/>
  <c r="I18" i="28" s="1"/>
  <c r="S21" i="27"/>
  <c r="S23" i="27" s="1"/>
  <c r="T20" i="27"/>
  <c r="E35" i="19"/>
  <c r="E29" i="19"/>
  <c r="E31" i="19" s="1"/>
  <c r="E82" i="19" s="1"/>
  <c r="D29" i="19"/>
  <c r="D31" i="19" s="1"/>
  <c r="D85" i="19" s="1"/>
  <c r="D36" i="19"/>
  <c r="D35" i="19"/>
  <c r="E6" i="19"/>
  <c r="D6" i="19"/>
  <c r="E93" i="19"/>
  <c r="E91" i="19"/>
  <c r="E94" i="19" s="1"/>
  <c r="E92" i="19"/>
  <c r="E97" i="19" s="1"/>
  <c r="E88" i="19"/>
  <c r="E87" i="19"/>
  <c r="S85" i="19"/>
  <c r="E77" i="19"/>
  <c r="D77" i="19"/>
  <c r="E70" i="19"/>
  <c r="E73" i="19" s="1"/>
  <c r="E67" i="19"/>
  <c r="D67" i="19"/>
  <c r="D70" i="19" s="1"/>
  <c r="D73" i="19" s="1"/>
  <c r="E43" i="19"/>
  <c r="E46" i="19" s="1"/>
  <c r="E49" i="19" s="1"/>
  <c r="E52" i="19" s="1"/>
  <c r="D43" i="19"/>
  <c r="D46" i="19" s="1"/>
  <c r="D49" i="19" s="1"/>
  <c r="D52" i="19" s="1"/>
  <c r="E38" i="19"/>
  <c r="E57" i="19" s="1"/>
  <c r="E22" i="19"/>
  <c r="E81" i="19" s="1"/>
  <c r="E84" i="19" s="1"/>
  <c r="D22" i="19"/>
  <c r="E5" i="19"/>
  <c r="E42" i="19" s="1"/>
  <c r="D5" i="19"/>
  <c r="D7" i="19" s="1"/>
  <c r="E89" i="19" l="1"/>
  <c r="E96" i="19" s="1"/>
  <c r="T21" i="27"/>
  <c r="T23" i="27" s="1"/>
  <c r="C3" i="27" s="1"/>
  <c r="T45" i="27"/>
  <c r="E44" i="19"/>
  <c r="E83" i="19"/>
  <c r="E95" i="19"/>
  <c r="E98" i="19" s="1"/>
  <c r="E99" i="19" s="1"/>
  <c r="D38" i="19"/>
  <c r="D57" i="19" s="1"/>
  <c r="D60" i="19" s="1"/>
  <c r="D81" i="19"/>
  <c r="D84" i="19" s="1"/>
  <c r="D86" i="19" s="1"/>
  <c r="D26" i="19"/>
  <c r="D63" i="19" s="1"/>
  <c r="E7" i="19"/>
  <c r="E9" i="19" s="1"/>
  <c r="E13" i="19" s="1"/>
  <c r="E15" i="19" s="1"/>
  <c r="E51" i="19" s="1"/>
  <c r="D42" i="19"/>
  <c r="D44" i="19" s="1"/>
  <c r="D45" i="19"/>
  <c r="D9" i="19"/>
  <c r="E60" i="19"/>
  <c r="E68" i="19"/>
  <c r="E69" i="19" s="1"/>
  <c r="E26" i="19"/>
  <c r="E63" i="19" s="1"/>
  <c r="E85" i="19"/>
  <c r="D34" i="19"/>
  <c r="D82" i="19"/>
  <c r="E34" i="19"/>
  <c r="E93" i="18"/>
  <c r="E90" i="18"/>
  <c r="E87" i="18"/>
  <c r="E91" i="18"/>
  <c r="E94" i="18" s="1"/>
  <c r="E95" i="18" s="1"/>
  <c r="E98" i="18" s="1"/>
  <c r="E88" i="18"/>
  <c r="E77" i="18"/>
  <c r="D77" i="18"/>
  <c r="S85" i="18"/>
  <c r="E67" i="18"/>
  <c r="D67" i="18"/>
  <c r="D70" i="18" s="1"/>
  <c r="D73" i="18" s="1"/>
  <c r="E70" i="18"/>
  <c r="E73" i="18" s="1"/>
  <c r="E43" i="18"/>
  <c r="E46" i="18" s="1"/>
  <c r="E49" i="18" s="1"/>
  <c r="E52" i="18" s="1"/>
  <c r="D43" i="18"/>
  <c r="D46" i="18" s="1"/>
  <c r="D49" i="18" s="1"/>
  <c r="D52" i="18" s="1"/>
  <c r="E89" i="18" l="1"/>
  <c r="E96" i="18" s="1"/>
  <c r="T46" i="27"/>
  <c r="T56" i="27" s="1"/>
  <c r="I11" i="28" s="1"/>
  <c r="T60" i="27"/>
  <c r="I15" i="28" s="1"/>
  <c r="T57" i="27"/>
  <c r="I12" i="28" s="1"/>
  <c r="E92" i="18"/>
  <c r="E97" i="18" s="1"/>
  <c r="E99" i="18" s="1"/>
  <c r="D71" i="19"/>
  <c r="D72" i="19" s="1"/>
  <c r="D68" i="19"/>
  <c r="D69" i="19" s="1"/>
  <c r="D83" i="19"/>
  <c r="E48" i="19"/>
  <c r="E50" i="19" s="1"/>
  <c r="E45" i="19"/>
  <c r="E47" i="19" s="1"/>
  <c r="E56" i="19"/>
  <c r="E58" i="19" s="1"/>
  <c r="E53" i="19"/>
  <c r="E86" i="19"/>
  <c r="E71" i="19"/>
  <c r="E72" i="19" s="1"/>
  <c r="D13" i="19"/>
  <c r="D15" i="19" s="1"/>
  <c r="D51" i="19" s="1"/>
  <c r="D48" i="19"/>
  <c r="D47" i="19"/>
  <c r="D74" i="19"/>
  <c r="E38" i="18"/>
  <c r="E57" i="18" s="1"/>
  <c r="D38" i="18"/>
  <c r="E31" i="18"/>
  <c r="D31" i="18"/>
  <c r="D34" i="18" s="1"/>
  <c r="E62" i="19" l="1"/>
  <c r="E64" i="19" s="1"/>
  <c r="E59" i="19"/>
  <c r="E61" i="19" s="1"/>
  <c r="E74" i="19"/>
  <c r="E75" i="19" s="1"/>
  <c r="E76" i="19"/>
  <c r="E78" i="19" s="1"/>
  <c r="D53" i="19"/>
  <c r="D56" i="19"/>
  <c r="D58" i="19" s="1"/>
  <c r="D59" i="19"/>
  <c r="D61" i="19" s="1"/>
  <c r="D62" i="19"/>
  <c r="D64" i="19" s="1"/>
  <c r="D50" i="19"/>
  <c r="D76" i="19"/>
  <c r="D78" i="19" s="1"/>
  <c r="D75" i="19"/>
  <c r="E60" i="18"/>
  <c r="E68" i="18"/>
  <c r="D85" i="18"/>
  <c r="D82" i="18"/>
  <c r="E85" i="18"/>
  <c r="E82" i="18"/>
  <c r="D68" i="18"/>
  <c r="D69" i="18" s="1"/>
  <c r="D57" i="18"/>
  <c r="D60" i="18" s="1"/>
  <c r="D71" i="18"/>
  <c r="D72" i="18" s="1"/>
  <c r="E34" i="18"/>
  <c r="E22" i="18"/>
  <c r="D22" i="18"/>
  <c r="E6" i="18"/>
  <c r="D6" i="18"/>
  <c r="E5" i="18"/>
  <c r="E42" i="18" s="1"/>
  <c r="E44" i="18" s="1"/>
  <c r="D5" i="18"/>
  <c r="D42" i="18" s="1"/>
  <c r="D44" i="18" s="1"/>
  <c r="S47" i="13"/>
  <c r="E69" i="18" l="1"/>
  <c r="E71" i="18"/>
  <c r="E72" i="18" s="1"/>
  <c r="D7" i="18"/>
  <c r="D84" i="18"/>
  <c r="D86" i="18" s="1"/>
  <c r="D81" i="18"/>
  <c r="D83" i="18" s="1"/>
  <c r="E84" i="18"/>
  <c r="E86" i="18" s="1"/>
  <c r="E81" i="18"/>
  <c r="E83" i="18"/>
  <c r="E7" i="18"/>
  <c r="E26" i="18"/>
  <c r="E63" i="18" s="1"/>
  <c r="D26" i="18"/>
  <c r="D63" i="18" s="1"/>
  <c r="X27" i="14"/>
  <c r="X17" i="14"/>
  <c r="X18" i="14" s="1"/>
  <c r="AE18" i="14"/>
  <c r="AE20" i="14"/>
  <c r="AA18" i="14"/>
  <c r="AA20" i="14" s="1"/>
  <c r="V25" i="13"/>
  <c r="AB15" i="13"/>
  <c r="AB17" i="13" s="1"/>
  <c r="Y15" i="13"/>
  <c r="Y17" i="13" s="1"/>
  <c r="V13" i="13" s="1"/>
  <c r="V16" i="13" s="1"/>
  <c r="D45" i="18" l="1"/>
  <c r="D9" i="18"/>
  <c r="E45" i="18"/>
  <c r="E9" i="18"/>
  <c r="K17" i="16"/>
  <c r="K19" i="16" s="1"/>
  <c r="G24" i="16"/>
  <c r="F24" i="16"/>
  <c r="E24" i="16"/>
  <c r="G16" i="16"/>
  <c r="F16" i="16"/>
  <c r="E16" i="16"/>
  <c r="F24" i="15"/>
  <c r="G24" i="15"/>
  <c r="E24" i="15"/>
  <c r="F16" i="15"/>
  <c r="G16" i="15"/>
  <c r="E16" i="15"/>
  <c r="K34" i="15"/>
  <c r="K38" i="15" s="1"/>
  <c r="K25" i="15"/>
  <c r="K29" i="15" s="1"/>
  <c r="K16" i="15"/>
  <c r="K20" i="15" s="1"/>
  <c r="E9" i="16"/>
  <c r="E11" i="16"/>
  <c r="G11" i="16"/>
  <c r="F11" i="16"/>
  <c r="S26" i="14"/>
  <c r="E26" i="16" l="1"/>
  <c r="E48" i="18"/>
  <c r="E13" i="18"/>
  <c r="E15" i="18" s="1"/>
  <c r="E51" i="18" s="1"/>
  <c r="D47" i="18"/>
  <c r="D74" i="18"/>
  <c r="F26" i="16"/>
  <c r="F28" i="16" s="1"/>
  <c r="E74" i="18"/>
  <c r="E47" i="18"/>
  <c r="D48" i="18"/>
  <c r="D13" i="18"/>
  <c r="D15" i="18" s="1"/>
  <c r="D51" i="18" s="1"/>
  <c r="E28" i="16"/>
  <c r="G26" i="16"/>
  <c r="G28" i="16" s="1"/>
  <c r="F28" i="10"/>
  <c r="F19" i="10"/>
  <c r="F18" i="10"/>
  <c r="G11" i="15"/>
  <c r="G26" i="15" s="1"/>
  <c r="G28" i="15" s="1"/>
  <c r="F11" i="15"/>
  <c r="F26" i="15" s="1"/>
  <c r="F28" i="15" s="1"/>
  <c r="E9" i="15"/>
  <c r="E8" i="15"/>
  <c r="E7" i="15"/>
  <c r="E11" i="15" s="1"/>
  <c r="E26" i="15" s="1"/>
  <c r="E28" i="15" s="1"/>
  <c r="X9" i="14"/>
  <c r="E45" i="14"/>
  <c r="E43" i="14"/>
  <c r="E42" i="14"/>
  <c r="E40" i="14"/>
  <c r="E39" i="14"/>
  <c r="S31" i="14"/>
  <c r="X21" i="14" s="1"/>
  <c r="R30" i="14"/>
  <c r="R32" i="14" s="1"/>
  <c r="R16" i="14" s="1"/>
  <c r="R17" i="14" s="1"/>
  <c r="Q30" i="14"/>
  <c r="Q32" i="14" s="1"/>
  <c r="Q16" i="14" s="1"/>
  <c r="P30" i="14"/>
  <c r="P32" i="14" s="1"/>
  <c r="P16" i="14" s="1"/>
  <c r="P17" i="14" s="1"/>
  <c r="O30" i="14"/>
  <c r="O32" i="14" s="1"/>
  <c r="O16" i="14" s="1"/>
  <c r="O17" i="14" s="1"/>
  <c r="N30" i="14"/>
  <c r="N32" i="14" s="1"/>
  <c r="N16" i="14" s="1"/>
  <c r="N17" i="14" s="1"/>
  <c r="M30" i="14"/>
  <c r="M32" i="14" s="1"/>
  <c r="M16" i="14" s="1"/>
  <c r="M17" i="14" s="1"/>
  <c r="L30" i="14"/>
  <c r="L32" i="14" s="1"/>
  <c r="L16" i="14" s="1"/>
  <c r="L17" i="14" s="1"/>
  <c r="K30" i="14"/>
  <c r="K32" i="14" s="1"/>
  <c r="K16" i="14" s="1"/>
  <c r="K17" i="14" s="1"/>
  <c r="J30" i="14"/>
  <c r="J32" i="14" s="1"/>
  <c r="J16" i="14" s="1"/>
  <c r="J17" i="14" s="1"/>
  <c r="I30" i="14"/>
  <c r="I32" i="14" s="1"/>
  <c r="I16" i="14" s="1"/>
  <c r="I17" i="14" s="1"/>
  <c r="H30" i="14"/>
  <c r="H32" i="14" s="1"/>
  <c r="H16" i="14" s="1"/>
  <c r="H17" i="14" s="1"/>
  <c r="G30" i="14"/>
  <c r="G32" i="14" s="1"/>
  <c r="G16" i="14" s="1"/>
  <c r="F30" i="14"/>
  <c r="F32" i="14" s="1"/>
  <c r="F16" i="14" s="1"/>
  <c r="E30" i="14"/>
  <c r="E32" i="14" s="1"/>
  <c r="S29" i="14"/>
  <c r="S28" i="14"/>
  <c r="S84" i="14" s="1"/>
  <c r="S27" i="14"/>
  <c r="X7" i="14" s="1"/>
  <c r="S25" i="14"/>
  <c r="X6" i="14" s="1"/>
  <c r="S24" i="14"/>
  <c r="S23" i="14"/>
  <c r="S98" i="14" s="1"/>
  <c r="S101" i="14" s="1"/>
  <c r="S22" i="14"/>
  <c r="E17" i="14"/>
  <c r="S15" i="14"/>
  <c r="S14" i="14"/>
  <c r="Q13" i="14"/>
  <c r="S12" i="14"/>
  <c r="G11" i="14"/>
  <c r="S11" i="14" s="1"/>
  <c r="R9" i="14"/>
  <c r="P9" i="14"/>
  <c r="P19" i="14" s="1"/>
  <c r="O9" i="14"/>
  <c r="N9" i="14"/>
  <c r="M9" i="14"/>
  <c r="L9" i="14"/>
  <c r="K9" i="14"/>
  <c r="H9" i="14"/>
  <c r="E9" i="14"/>
  <c r="J8" i="14"/>
  <c r="S8" i="14" s="1"/>
  <c r="I7" i="14"/>
  <c r="S7" i="14" s="1"/>
  <c r="G6" i="14"/>
  <c r="S6" i="14" s="1"/>
  <c r="F5" i="14"/>
  <c r="S5" i="14" s="1"/>
  <c r="Q4" i="14"/>
  <c r="Q9" i="14" s="1"/>
  <c r="J4" i="14"/>
  <c r="G4" i="14"/>
  <c r="F4" i="14"/>
  <c r="F9" i="14" s="1"/>
  <c r="F3" i="14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E43" i="13"/>
  <c r="E41" i="13"/>
  <c r="E40" i="13"/>
  <c r="E38" i="13"/>
  <c r="E37" i="13"/>
  <c r="Q29" i="13"/>
  <c r="V19" i="13" s="1"/>
  <c r="P28" i="13"/>
  <c r="P30" i="13" s="1"/>
  <c r="P16" i="13" s="1"/>
  <c r="P17" i="13" s="1"/>
  <c r="O28" i="13"/>
  <c r="O30" i="13" s="1"/>
  <c r="O16" i="13" s="1"/>
  <c r="N28" i="13"/>
  <c r="N30" i="13" s="1"/>
  <c r="N16" i="13" s="1"/>
  <c r="N17" i="13" s="1"/>
  <c r="M28" i="13"/>
  <c r="M30" i="13" s="1"/>
  <c r="M16" i="13" s="1"/>
  <c r="M17" i="13" s="1"/>
  <c r="L28" i="13"/>
  <c r="L30" i="13" s="1"/>
  <c r="L16" i="13" s="1"/>
  <c r="L17" i="13" s="1"/>
  <c r="K28" i="13"/>
  <c r="K30" i="13" s="1"/>
  <c r="K16" i="13" s="1"/>
  <c r="K17" i="13" s="1"/>
  <c r="H28" i="13"/>
  <c r="H30" i="13" s="1"/>
  <c r="H16" i="13" s="1"/>
  <c r="G28" i="13"/>
  <c r="G30" i="13" s="1"/>
  <c r="G16" i="13" s="1"/>
  <c r="F28" i="13"/>
  <c r="F30" i="13" s="1"/>
  <c r="F16" i="13" s="1"/>
  <c r="F17" i="13" s="1"/>
  <c r="E28" i="13"/>
  <c r="E30" i="13" s="1"/>
  <c r="Q27" i="13"/>
  <c r="Q26" i="13"/>
  <c r="J25" i="13"/>
  <c r="I24" i="13"/>
  <c r="I28" i="13" s="1"/>
  <c r="I30" i="13" s="1"/>
  <c r="I16" i="13" s="1"/>
  <c r="I17" i="13" s="1"/>
  <c r="Q23" i="13"/>
  <c r="V52" i="13" s="1"/>
  <c r="V55" i="13" s="1"/>
  <c r="Q22" i="13"/>
  <c r="E17" i="13"/>
  <c r="Q15" i="13"/>
  <c r="Q14" i="13"/>
  <c r="O13" i="13"/>
  <c r="Q13" i="13" s="1"/>
  <c r="Q12" i="13"/>
  <c r="H11" i="13"/>
  <c r="G11" i="13"/>
  <c r="P9" i="13"/>
  <c r="N9" i="13"/>
  <c r="M9" i="13"/>
  <c r="L9" i="13"/>
  <c r="E9" i="13"/>
  <c r="K8" i="13"/>
  <c r="K9" i="13" s="1"/>
  <c r="J7" i="13"/>
  <c r="J9" i="13" s="1"/>
  <c r="G6" i="13"/>
  <c r="Q6" i="13" s="1"/>
  <c r="F5" i="13"/>
  <c r="F9" i="13" s="1"/>
  <c r="O4" i="13"/>
  <c r="O9" i="13" s="1"/>
  <c r="I4" i="13"/>
  <c r="I9" i="13" s="1"/>
  <c r="H4" i="13"/>
  <c r="H9" i="13" s="1"/>
  <c r="F3" i="13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B38" i="9"/>
  <c r="B36" i="9"/>
  <c r="D30" i="9"/>
  <c r="E30" i="9"/>
  <c r="F30" i="9"/>
  <c r="G30" i="9"/>
  <c r="C30" i="9"/>
  <c r="B33" i="9" s="1"/>
  <c r="B32" i="9" l="1"/>
  <c r="B30" i="9"/>
  <c r="B34" i="9"/>
  <c r="D50" i="18"/>
  <c r="D59" i="18"/>
  <c r="D61" i="18" s="1"/>
  <c r="D62" i="18"/>
  <c r="D64" i="18" s="1"/>
  <c r="Q57" i="13"/>
  <c r="Q48" i="13"/>
  <c r="V49" i="13" s="1"/>
  <c r="Q51" i="13"/>
  <c r="Q54" i="13" s="1"/>
  <c r="E76" i="18"/>
  <c r="E78" i="18" s="1"/>
  <c r="E75" i="18"/>
  <c r="V9" i="13"/>
  <c r="V51" i="13"/>
  <c r="V53" i="13" s="1"/>
  <c r="V58" i="13" s="1"/>
  <c r="E22" i="17" s="1"/>
  <c r="V45" i="13"/>
  <c r="D76" i="18"/>
  <c r="D78" i="18" s="1"/>
  <c r="D75" i="18"/>
  <c r="Q41" i="13"/>
  <c r="V28" i="13"/>
  <c r="V20" i="13"/>
  <c r="V7" i="13"/>
  <c r="V38" i="13"/>
  <c r="V18" i="13"/>
  <c r="V22" i="13" s="1"/>
  <c r="E56" i="18"/>
  <c r="E58" i="18" s="1"/>
  <c r="E53" i="18"/>
  <c r="V21" i="13"/>
  <c r="D56" i="18"/>
  <c r="D58" i="18" s="1"/>
  <c r="D53" i="18"/>
  <c r="E50" i="18"/>
  <c r="E59" i="18"/>
  <c r="E61" i="18" s="1"/>
  <c r="E62" i="18"/>
  <c r="E64" i="18" s="1"/>
  <c r="X10" i="14"/>
  <c r="S94" i="14"/>
  <c r="S96" i="14" s="1"/>
  <c r="S103" i="14" s="1"/>
  <c r="D21" i="17" s="1"/>
  <c r="Q17" i="14"/>
  <c r="S50" i="14"/>
  <c r="S53" i="14" s="1"/>
  <c r="S56" i="14" s="1"/>
  <c r="S59" i="14" s="1"/>
  <c r="S95" i="14"/>
  <c r="X11" i="14"/>
  <c r="S97" i="14"/>
  <c r="S99" i="14" s="1"/>
  <c r="S104" i="14" s="1"/>
  <c r="D22" i="17" s="1"/>
  <c r="O19" i="14"/>
  <c r="X12" i="14"/>
  <c r="S100" i="14"/>
  <c r="S102" i="14" s="1"/>
  <c r="S105" i="14" s="1"/>
  <c r="D23" i="17" s="1"/>
  <c r="E19" i="14"/>
  <c r="X23" i="14"/>
  <c r="X8" i="14"/>
  <c r="X20" i="14"/>
  <c r="E19" i="13"/>
  <c r="J28" i="13"/>
  <c r="J30" i="13" s="1"/>
  <c r="J16" i="13" s="1"/>
  <c r="J17" i="13" s="1"/>
  <c r="J19" i="13" s="1"/>
  <c r="Q25" i="13"/>
  <c r="V6" i="13" s="1"/>
  <c r="M19" i="13"/>
  <c r="G17" i="14"/>
  <c r="M19" i="14"/>
  <c r="R19" i="14"/>
  <c r="S40" i="14"/>
  <c r="J9" i="14"/>
  <c r="J19" i="14" s="1"/>
  <c r="S42" i="14"/>
  <c r="S34" i="14"/>
  <c r="N19" i="14"/>
  <c r="H19" i="14"/>
  <c r="K19" i="14"/>
  <c r="L19" i="14"/>
  <c r="S16" i="14"/>
  <c r="S45" i="14" s="1"/>
  <c r="F17" i="14"/>
  <c r="F19" i="14" s="1"/>
  <c r="I9" i="14"/>
  <c r="I19" i="14" s="1"/>
  <c r="S4" i="14"/>
  <c r="S30" i="14"/>
  <c r="G9" i="14"/>
  <c r="S13" i="14"/>
  <c r="I19" i="13"/>
  <c r="O17" i="13"/>
  <c r="H17" i="13"/>
  <c r="H19" i="13" s="1"/>
  <c r="Q8" i="13"/>
  <c r="Q4" i="13"/>
  <c r="L19" i="13"/>
  <c r="P19" i="13"/>
  <c r="F19" i="13"/>
  <c r="G17" i="13"/>
  <c r="Q11" i="13"/>
  <c r="V54" i="13" s="1"/>
  <c r="V56" i="13" s="1"/>
  <c r="V59" i="13" s="1"/>
  <c r="E23" i="17" s="1"/>
  <c r="N19" i="13"/>
  <c r="K19" i="13"/>
  <c r="Q5" i="13"/>
  <c r="V48" i="13" s="1"/>
  <c r="G9" i="13"/>
  <c r="Q24" i="13"/>
  <c r="Q32" i="13"/>
  <c r="Q47" i="13" s="1"/>
  <c r="Q7" i="13"/>
  <c r="D22" i="9"/>
  <c r="E22" i="9"/>
  <c r="C22" i="9"/>
  <c r="B22" i="9"/>
  <c r="B16" i="9"/>
  <c r="B14" i="9"/>
  <c r="B6" i="9"/>
  <c r="K10" i="10"/>
  <c r="J10" i="10"/>
  <c r="K7" i="10"/>
  <c r="J7" i="10"/>
  <c r="C9" i="10"/>
  <c r="C10" i="10"/>
  <c r="C5" i="10"/>
  <c r="C4" i="10"/>
  <c r="C6" i="10" s="1"/>
  <c r="C8" i="10" s="1"/>
  <c r="X16" i="8"/>
  <c r="X20" i="8" s="1"/>
  <c r="X12" i="8"/>
  <c r="X13" i="8"/>
  <c r="X9" i="8"/>
  <c r="V16" i="6"/>
  <c r="V20" i="6" s="1"/>
  <c r="V14" i="6"/>
  <c r="V9" i="6"/>
  <c r="V22" i="6" l="1"/>
  <c r="V24" i="6" s="1"/>
  <c r="V50" i="13"/>
  <c r="V57" i="13" s="1"/>
  <c r="Q28" i="13"/>
  <c r="V5" i="13" s="1"/>
  <c r="Q16" i="13"/>
  <c r="Q43" i="13" s="1"/>
  <c r="S74" i="14"/>
  <c r="S77" i="14" s="1"/>
  <c r="V31" i="13"/>
  <c r="E21" i="17"/>
  <c r="V60" i="13"/>
  <c r="E24" i="17" s="1"/>
  <c r="C13" i="10"/>
  <c r="Q49" i="13"/>
  <c r="E3" i="17" s="1"/>
  <c r="S92" i="14"/>
  <c r="S89" i="14"/>
  <c r="S106" i="14"/>
  <c r="D24" i="17" s="1"/>
  <c r="S64" i="14"/>
  <c r="S67" i="14" s="1"/>
  <c r="S75" i="14"/>
  <c r="S76" i="14" s="1"/>
  <c r="D14" i="17" s="1"/>
  <c r="S43" i="14"/>
  <c r="X22" i="14"/>
  <c r="X24" i="14" s="1"/>
  <c r="S35" i="14"/>
  <c r="S49" i="14"/>
  <c r="S51" i="14" s="1"/>
  <c r="D3" i="17" s="1"/>
  <c r="G19" i="13"/>
  <c r="G19" i="14"/>
  <c r="S32" i="14"/>
  <c r="X5" i="14"/>
  <c r="X13" i="14" s="1"/>
  <c r="S17" i="14"/>
  <c r="S39" i="14"/>
  <c r="S9" i="14"/>
  <c r="S70" i="14" s="1"/>
  <c r="Q9" i="13"/>
  <c r="V8" i="13"/>
  <c r="Q38" i="13"/>
  <c r="Q40" i="13"/>
  <c r="V10" i="13"/>
  <c r="Q30" i="13"/>
  <c r="Q37" i="13"/>
  <c r="V42" i="13" s="1"/>
  <c r="Q33" i="13"/>
  <c r="F22" i="9"/>
  <c r="X14" i="8"/>
  <c r="X22" i="8" s="1"/>
  <c r="X24" i="8" s="1"/>
  <c r="G5" i="9"/>
  <c r="G7" i="9" s="1"/>
  <c r="H5" i="9"/>
  <c r="H7" i="9" s="1"/>
  <c r="I5" i="9"/>
  <c r="I7" i="9" s="1"/>
  <c r="F22" i="10"/>
  <c r="F16" i="10"/>
  <c r="E37" i="10"/>
  <c r="E34" i="10"/>
  <c r="E30" i="10"/>
  <c r="E31" i="10" s="1"/>
  <c r="E24" i="10"/>
  <c r="E23" i="10"/>
  <c r="E21" i="10"/>
  <c r="D37" i="10"/>
  <c r="D34" i="10"/>
  <c r="D31" i="10"/>
  <c r="D24" i="10"/>
  <c r="D23" i="10"/>
  <c r="D21" i="10"/>
  <c r="D10" i="10"/>
  <c r="D5" i="10"/>
  <c r="D4" i="10"/>
  <c r="E10" i="10"/>
  <c r="E12" i="10"/>
  <c r="E5" i="10"/>
  <c r="E4" i="10"/>
  <c r="S27" i="8"/>
  <c r="S26" i="8"/>
  <c r="F34" i="10" l="1"/>
  <c r="D39" i="10"/>
  <c r="F37" i="10"/>
  <c r="E25" i="10"/>
  <c r="F21" i="10"/>
  <c r="Q17" i="13"/>
  <c r="Q19" i="13" s="1"/>
  <c r="C2" i="13" s="1"/>
  <c r="F31" i="10"/>
  <c r="E27" i="10"/>
  <c r="Q34" i="13"/>
  <c r="V35" i="13"/>
  <c r="V37" i="13" s="1"/>
  <c r="V39" i="13" s="1"/>
  <c r="E17" i="17" s="1"/>
  <c r="Q50" i="13"/>
  <c r="Q52" i="13" s="1"/>
  <c r="E4" i="17" s="1"/>
  <c r="Q68" i="13"/>
  <c r="V34" i="13"/>
  <c r="S91" i="14"/>
  <c r="S93" i="14" s="1"/>
  <c r="D20" i="17" s="1"/>
  <c r="S88" i="14"/>
  <c r="S90" i="14" s="1"/>
  <c r="D19" i="17" s="1"/>
  <c r="X26" i="14"/>
  <c r="X28" i="14" s="1"/>
  <c r="V46" i="13"/>
  <c r="V47" i="13" s="1"/>
  <c r="E20" i="17" s="1"/>
  <c r="V43" i="13"/>
  <c r="V44" i="13" s="1"/>
  <c r="E19" i="17" s="1"/>
  <c r="E6" i="10"/>
  <c r="D25" i="10"/>
  <c r="D27" i="10" s="1"/>
  <c r="V29" i="13"/>
  <c r="V30" i="13" s="1"/>
  <c r="E14" i="17" s="1"/>
  <c r="Q62" i="13"/>
  <c r="Q65" i="13"/>
  <c r="S80" i="14"/>
  <c r="S78" i="14"/>
  <c r="S79" i="14" s="1"/>
  <c r="D15" i="17" s="1"/>
  <c r="S19" i="14"/>
  <c r="C2" i="14" s="1"/>
  <c r="S36" i="14"/>
  <c r="S52" i="14"/>
  <c r="V11" i="13"/>
  <c r="V24" i="13" s="1"/>
  <c r="V26" i="13" s="1"/>
  <c r="E39" i="10"/>
  <c r="F39" i="10" s="1"/>
  <c r="D6" i="10"/>
  <c r="B8" i="9"/>
  <c r="Q13" i="8"/>
  <c r="Q4" i="8"/>
  <c r="J8" i="8"/>
  <c r="J4" i="8"/>
  <c r="I7" i="8"/>
  <c r="G4" i="8"/>
  <c r="G11" i="8"/>
  <c r="G6" i="8"/>
  <c r="F5" i="8"/>
  <c r="F4" i="8"/>
  <c r="V36" i="13" l="1"/>
  <c r="E16" i="17" s="1"/>
  <c r="Q35" i="13"/>
  <c r="Q56" i="13" s="1"/>
  <c r="Q53" i="13"/>
  <c r="V32" i="13"/>
  <c r="V33" i="13" s="1"/>
  <c r="E15" i="17" s="1"/>
  <c r="F27" i="10"/>
  <c r="D8" i="10"/>
  <c r="D13" i="10" s="1"/>
  <c r="J9" i="10" s="1"/>
  <c r="J8" i="10"/>
  <c r="E8" i="10"/>
  <c r="E13" i="10" s="1"/>
  <c r="K9" i="10" s="1"/>
  <c r="K8" i="10"/>
  <c r="F25" i="10"/>
  <c r="S54" i="14"/>
  <c r="D4" i="17" s="1"/>
  <c r="S81" i="14"/>
  <c r="S83" i="14" s="1"/>
  <c r="S37" i="14"/>
  <c r="S66" i="14"/>
  <c r="S68" i="14" s="1"/>
  <c r="S55" i="14"/>
  <c r="S57" i="14" s="1"/>
  <c r="D5" i="17" s="1"/>
  <c r="S4" i="8"/>
  <c r="N30" i="8"/>
  <c r="N32" i="8" s="1"/>
  <c r="N16" i="8" s="1"/>
  <c r="N17" i="8" s="1"/>
  <c r="N9" i="8"/>
  <c r="O30" i="8"/>
  <c r="O32" i="8" s="1"/>
  <c r="O16" i="8" s="1"/>
  <c r="O17" i="8" s="1"/>
  <c r="O9" i="8"/>
  <c r="E45" i="8"/>
  <c r="E43" i="8"/>
  <c r="E42" i="8"/>
  <c r="E40" i="8"/>
  <c r="E39" i="8"/>
  <c r="S31" i="8"/>
  <c r="R30" i="8"/>
  <c r="R32" i="8" s="1"/>
  <c r="R16" i="8" s="1"/>
  <c r="R17" i="8" s="1"/>
  <c r="Q30" i="8"/>
  <c r="Q32" i="8" s="1"/>
  <c r="Q16" i="8" s="1"/>
  <c r="P30" i="8"/>
  <c r="P32" i="8" s="1"/>
  <c r="P16" i="8" s="1"/>
  <c r="P17" i="8" s="1"/>
  <c r="M30" i="8"/>
  <c r="M32" i="8" s="1"/>
  <c r="M16" i="8" s="1"/>
  <c r="M17" i="8" s="1"/>
  <c r="L30" i="8"/>
  <c r="L32" i="8" s="1"/>
  <c r="L16" i="8" s="1"/>
  <c r="L17" i="8" s="1"/>
  <c r="K30" i="8"/>
  <c r="K32" i="8" s="1"/>
  <c r="K16" i="8" s="1"/>
  <c r="K17" i="8" s="1"/>
  <c r="J30" i="8"/>
  <c r="J32" i="8" s="1"/>
  <c r="J16" i="8" s="1"/>
  <c r="J17" i="8" s="1"/>
  <c r="H30" i="8"/>
  <c r="H32" i="8" s="1"/>
  <c r="H16" i="8" s="1"/>
  <c r="H17" i="8" s="1"/>
  <c r="G30" i="8"/>
  <c r="G32" i="8" s="1"/>
  <c r="G16" i="8" s="1"/>
  <c r="G17" i="8" s="1"/>
  <c r="F30" i="8"/>
  <c r="F32" i="8" s="1"/>
  <c r="F16" i="8" s="1"/>
  <c r="E30" i="8"/>
  <c r="E32" i="8" s="1"/>
  <c r="S29" i="8"/>
  <c r="S28" i="8"/>
  <c r="S25" i="8"/>
  <c r="I30" i="8"/>
  <c r="I32" i="8" s="1"/>
  <c r="I16" i="8" s="1"/>
  <c r="I17" i="8" s="1"/>
  <c r="S23" i="8"/>
  <c r="S22" i="8"/>
  <c r="E17" i="8"/>
  <c r="S15" i="8"/>
  <c r="S14" i="8"/>
  <c r="S13" i="8"/>
  <c r="S43" i="8" s="1"/>
  <c r="S12" i="8"/>
  <c r="S11" i="8"/>
  <c r="R9" i="8"/>
  <c r="P9" i="8"/>
  <c r="M9" i="8"/>
  <c r="L9" i="8"/>
  <c r="I9" i="8"/>
  <c r="H9" i="8"/>
  <c r="E9" i="8"/>
  <c r="S8" i="8"/>
  <c r="K9" i="8"/>
  <c r="J9" i="8"/>
  <c r="S6" i="8"/>
  <c r="G9" i="8"/>
  <c r="S5" i="8"/>
  <c r="Q9" i="8"/>
  <c r="F3" i="8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E43" i="6"/>
  <c r="E41" i="6"/>
  <c r="E40" i="6"/>
  <c r="E38" i="6"/>
  <c r="E37" i="6"/>
  <c r="S85" i="14" l="1"/>
  <c r="D17" i="17" s="1"/>
  <c r="Q64" i="13"/>
  <c r="Q66" i="13" s="1"/>
  <c r="E10" i="17" s="1"/>
  <c r="Q55" i="13"/>
  <c r="E5" i="17" s="1"/>
  <c r="Q67" i="13"/>
  <c r="Q69" i="13" s="1"/>
  <c r="E11" i="17" s="1"/>
  <c r="Q58" i="13"/>
  <c r="E6" i="17" s="1"/>
  <c r="Q61" i="13"/>
  <c r="Q63" i="13" s="1"/>
  <c r="E9" i="17" s="1"/>
  <c r="S82" i="14"/>
  <c r="D16" i="17" s="1"/>
  <c r="D10" i="17"/>
  <c r="S69" i="14"/>
  <c r="S63" i="14"/>
  <c r="S58" i="14"/>
  <c r="S60" i="14" s="1"/>
  <c r="D6" i="17" s="1"/>
  <c r="E19" i="8"/>
  <c r="H19" i="8"/>
  <c r="M19" i="8"/>
  <c r="J19" i="8"/>
  <c r="L19" i="8"/>
  <c r="O19" i="8"/>
  <c r="N19" i="8"/>
  <c r="G19" i="8"/>
  <c r="R19" i="8"/>
  <c r="P19" i="8"/>
  <c r="I19" i="8"/>
  <c r="K19" i="8"/>
  <c r="S42" i="8"/>
  <c r="F17" i="8"/>
  <c r="S16" i="8"/>
  <c r="S45" i="8" s="1"/>
  <c r="S39" i="8"/>
  <c r="F9" i="8"/>
  <c r="S7" i="8"/>
  <c r="S40" i="8" s="1"/>
  <c r="S24" i="8"/>
  <c r="S30" i="8" s="1"/>
  <c r="S32" i="8" s="1"/>
  <c r="S34" i="8"/>
  <c r="Q17" i="8"/>
  <c r="O13" i="6"/>
  <c r="O4" i="6"/>
  <c r="O9" i="6" s="1"/>
  <c r="K8" i="6"/>
  <c r="K9" i="6" s="1"/>
  <c r="J7" i="6"/>
  <c r="Q7" i="6" s="1"/>
  <c r="J25" i="6"/>
  <c r="Q25" i="6" s="1"/>
  <c r="I24" i="6"/>
  <c r="Q24" i="6" s="1"/>
  <c r="I4" i="6"/>
  <c r="H11" i="6"/>
  <c r="H4" i="6"/>
  <c r="H9" i="6" s="1"/>
  <c r="G6" i="6"/>
  <c r="G9" i="6" s="1"/>
  <c r="G11" i="6"/>
  <c r="F5" i="6"/>
  <c r="F9" i="6" s="1"/>
  <c r="O28" i="6"/>
  <c r="O30" i="6" s="1"/>
  <c r="O16" i="6" s="1"/>
  <c r="I9" i="6"/>
  <c r="L9" i="6"/>
  <c r="M9" i="6"/>
  <c r="N9" i="6"/>
  <c r="P9" i="6"/>
  <c r="E9" i="6"/>
  <c r="P28" i="6"/>
  <c r="N28" i="6"/>
  <c r="N30" i="6" s="1"/>
  <c r="N16" i="6" s="1"/>
  <c r="N17" i="6" s="1"/>
  <c r="M28" i="6"/>
  <c r="M30" i="6" s="1"/>
  <c r="M16" i="6" s="1"/>
  <c r="M17" i="6" s="1"/>
  <c r="L28" i="6"/>
  <c r="L30" i="6" s="1"/>
  <c r="L16" i="6" s="1"/>
  <c r="L17" i="6" s="1"/>
  <c r="K28" i="6"/>
  <c r="K30" i="6" s="1"/>
  <c r="K16" i="6" s="1"/>
  <c r="K17" i="6" s="1"/>
  <c r="H28" i="6"/>
  <c r="H30" i="6" s="1"/>
  <c r="H16" i="6" s="1"/>
  <c r="G28" i="6"/>
  <c r="G30" i="6" s="1"/>
  <c r="G16" i="6" s="1"/>
  <c r="F28" i="6"/>
  <c r="F30" i="6" s="1"/>
  <c r="F16" i="6" s="1"/>
  <c r="F17" i="6" s="1"/>
  <c r="E28" i="6"/>
  <c r="E30" i="6" s="1"/>
  <c r="Q27" i="6"/>
  <c r="Q26" i="6"/>
  <c r="Q23" i="6"/>
  <c r="Q22" i="6"/>
  <c r="E17" i="6"/>
  <c r="Q15" i="6"/>
  <c r="Q14" i="6"/>
  <c r="Q12" i="6"/>
  <c r="F3" i="6"/>
  <c r="G3" i="6" s="1"/>
  <c r="H3" i="6" s="1"/>
  <c r="I3" i="6" s="1"/>
  <c r="J3" i="6" s="1"/>
  <c r="K3" i="6" s="1"/>
  <c r="L3" i="6" s="1"/>
  <c r="M3" i="6" s="1"/>
  <c r="N3" i="6" s="1"/>
  <c r="O3" i="6" s="1"/>
  <c r="P3" i="6" s="1"/>
  <c r="Q11" i="6" l="1"/>
  <c r="Q40" i="6" s="1"/>
  <c r="H17" i="6"/>
  <c r="S65" i="14"/>
  <c r="D9" i="17" s="1"/>
  <c r="O17" i="6"/>
  <c r="S71" i="14"/>
  <c r="D11" i="17" s="1"/>
  <c r="Q5" i="6"/>
  <c r="J9" i="6"/>
  <c r="S35" i="8"/>
  <c r="S36" i="8" s="1"/>
  <c r="S37" i="8" s="1"/>
  <c r="S17" i="8"/>
  <c r="S9" i="8"/>
  <c r="F19" i="8"/>
  <c r="G17" i="6"/>
  <c r="G19" i="6" s="1"/>
  <c r="Q8" i="6"/>
  <c r="Q38" i="6" s="1"/>
  <c r="J28" i="6"/>
  <c r="J30" i="6" s="1"/>
  <c r="J16" i="6" s="1"/>
  <c r="J17" i="6" s="1"/>
  <c r="I28" i="6"/>
  <c r="I30" i="6" s="1"/>
  <c r="I16" i="6" s="1"/>
  <c r="I17" i="6" s="1"/>
  <c r="I19" i="6" s="1"/>
  <c r="Q6" i="6"/>
  <c r="Q32" i="6"/>
  <c r="Q33" i="6" s="1"/>
  <c r="Q34" i="6" s="1"/>
  <c r="Q35" i="6" s="1"/>
  <c r="E19" i="6"/>
  <c r="Q28" i="6"/>
  <c r="L19" i="6"/>
  <c r="M19" i="6"/>
  <c r="K19" i="6"/>
  <c r="H19" i="6"/>
  <c r="F19" i="6"/>
  <c r="Q13" i="6"/>
  <c r="Q41" i="6" s="1"/>
  <c r="J19" i="6" l="1"/>
  <c r="S19" i="8"/>
  <c r="C2" i="8" s="1"/>
  <c r="N19" i="6"/>
  <c r="Q29" i="6"/>
  <c r="Q30" i="6" s="1"/>
  <c r="P30" i="6"/>
  <c r="P16" i="6" s="1"/>
  <c r="P17" i="6" s="1"/>
  <c r="Q16" i="6" l="1"/>
  <c r="Q4" i="6"/>
  <c r="Q17" i="6" l="1"/>
  <c r="Q43" i="6"/>
  <c r="Q9" i="6"/>
  <c r="Q37" i="6"/>
  <c r="P19" i="6"/>
  <c r="Q19" i="6" l="1"/>
  <c r="C2" i="6"/>
</calcChain>
</file>

<file path=xl/sharedStrings.xml><?xml version="1.0" encoding="utf-8"?>
<sst xmlns="http://schemas.openxmlformats.org/spreadsheetml/2006/main" count="1077" uniqueCount="361">
  <si>
    <t>Income Statement</t>
  </si>
  <si>
    <t>Balance Sheet</t>
  </si>
  <si>
    <t>A</t>
  </si>
  <si>
    <t>E</t>
  </si>
  <si>
    <t>Check</t>
  </si>
  <si>
    <t>Sales</t>
  </si>
  <si>
    <t>Cash</t>
  </si>
  <si>
    <t>Account Receivable</t>
  </si>
  <si>
    <t>Inventory</t>
  </si>
  <si>
    <t>PP&amp;E</t>
  </si>
  <si>
    <t>Total Assets</t>
  </si>
  <si>
    <t>End</t>
  </si>
  <si>
    <t>Account Payable</t>
  </si>
  <si>
    <t>Share Capital</t>
  </si>
  <si>
    <t>Share Premium</t>
  </si>
  <si>
    <t>Retained Earnings</t>
  </si>
  <si>
    <t>Total Liabilities &amp; Equity</t>
  </si>
  <si>
    <t>Borrowings or Debt</t>
  </si>
  <si>
    <t>Cost of Sales</t>
  </si>
  <si>
    <t>SG&amp;A</t>
  </si>
  <si>
    <t>Dep &amp; Amort</t>
  </si>
  <si>
    <t>Interest</t>
  </si>
  <si>
    <t>Tax</t>
  </si>
  <si>
    <t>Net Profit</t>
  </si>
  <si>
    <t>Dividends</t>
  </si>
  <si>
    <t>Transfer to Retained Earnings</t>
  </si>
  <si>
    <t>B</t>
  </si>
  <si>
    <t>S</t>
  </si>
  <si>
    <t xml:space="preserve">Check </t>
  </si>
  <si>
    <t>Unearned Rev</t>
  </si>
  <si>
    <t>Revenue</t>
  </si>
  <si>
    <t>Gross Profit</t>
  </si>
  <si>
    <t>EBITDA</t>
  </si>
  <si>
    <t>EBIT</t>
  </si>
  <si>
    <t>Cola Inc.</t>
  </si>
  <si>
    <t>Current Assets</t>
  </si>
  <si>
    <t>Inventories</t>
  </si>
  <si>
    <t>Goodwill &amp; Intang</t>
  </si>
  <si>
    <t>Ending Balance</t>
  </si>
  <si>
    <t>Depreciation</t>
  </si>
  <si>
    <t>Amortization</t>
  </si>
  <si>
    <t>Total Current Assets</t>
  </si>
  <si>
    <t>Total Non - Current Assets</t>
  </si>
  <si>
    <t>Total Current Liabilities</t>
  </si>
  <si>
    <t>Total Non - Current Liabilities</t>
  </si>
  <si>
    <t>Total Equity</t>
  </si>
  <si>
    <t>Blue Inc.</t>
  </si>
  <si>
    <t>PP&amp;E (Non Current Asset)</t>
  </si>
  <si>
    <t>Present Value</t>
  </si>
  <si>
    <t>Number of Years</t>
  </si>
  <si>
    <t>Future Value</t>
  </si>
  <si>
    <t>Rate of Interest</t>
  </si>
  <si>
    <t>Using Text Book formula</t>
  </si>
  <si>
    <t>Using excel in built function</t>
  </si>
  <si>
    <t>PV</t>
  </si>
  <si>
    <t>Rate</t>
  </si>
  <si>
    <t>Years</t>
  </si>
  <si>
    <t>FV</t>
  </si>
  <si>
    <t>Money Multiplier or MOIC</t>
  </si>
  <si>
    <t>Gain (Loss) on Sale of Assets</t>
  </si>
  <si>
    <t>Provisions</t>
  </si>
  <si>
    <t>Interst Income</t>
  </si>
  <si>
    <t>Interest Expense</t>
  </si>
  <si>
    <t>Income tax</t>
  </si>
  <si>
    <t>% Change</t>
  </si>
  <si>
    <t>Cash and cash equivalents</t>
  </si>
  <si>
    <t>Short-term investments</t>
  </si>
  <si>
    <t>Accounts receivable, net</t>
  </si>
  <si>
    <t>Other Current Assets</t>
  </si>
  <si>
    <t>Goodwill &amp; Intangibles</t>
  </si>
  <si>
    <t>Other Non Current Assets</t>
  </si>
  <si>
    <t>Total Non Current Assets</t>
  </si>
  <si>
    <t>Accounts Payable</t>
  </si>
  <si>
    <t>Short term Debt</t>
  </si>
  <si>
    <t>Other Current Liabilities</t>
  </si>
  <si>
    <t>Long-term debt</t>
  </si>
  <si>
    <t>Other long-term liabilities</t>
  </si>
  <si>
    <t>Total Non Current Liabilities</t>
  </si>
  <si>
    <t>Share Capital &amp; Other Equity</t>
  </si>
  <si>
    <t>Total Equities</t>
  </si>
  <si>
    <t>Total Liabilities + Equity</t>
  </si>
  <si>
    <t>Cash Flow Statement</t>
  </si>
  <si>
    <t>Cash Flow from Operations (CFO)</t>
  </si>
  <si>
    <t>Cash flow from Investing (CFI)</t>
  </si>
  <si>
    <t>Cash Flow Statement - using transactions</t>
  </si>
  <si>
    <t>Cash Flow from Operations</t>
  </si>
  <si>
    <t>Cash collected from customers</t>
  </si>
  <si>
    <t>Cash paid to suppliers</t>
  </si>
  <si>
    <t>Cash paid for SG&amp;A</t>
  </si>
  <si>
    <t>Cash paid for Taxes</t>
  </si>
  <si>
    <t>Cash Flow from Investing</t>
  </si>
  <si>
    <t>Cash Paid for Tangible Assets</t>
  </si>
  <si>
    <t>Cash Paid for InTangible Assets</t>
  </si>
  <si>
    <t>Cash from sale of investments</t>
  </si>
  <si>
    <t>Cash Flow from Financing</t>
  </si>
  <si>
    <t>Debt Issued (Repaid)</t>
  </si>
  <si>
    <t>Equity Issued (Repaid)</t>
  </si>
  <si>
    <t>Interest Paid</t>
  </si>
  <si>
    <t>Dividends Paid</t>
  </si>
  <si>
    <t>Cash flow from Investing (CFF)</t>
  </si>
  <si>
    <t>Net Cash Flow for the year</t>
  </si>
  <si>
    <t>Cash at beginning of the year</t>
  </si>
  <si>
    <t>Cash at end of the year</t>
  </si>
  <si>
    <t>CFO</t>
  </si>
  <si>
    <t>CFI</t>
  </si>
  <si>
    <t>CFF</t>
  </si>
  <si>
    <t>Starbucks</t>
  </si>
  <si>
    <t>Restructing Prov &amp; Other non recurring</t>
  </si>
  <si>
    <t>Analysis</t>
  </si>
  <si>
    <t>% Ch in Sales</t>
  </si>
  <si>
    <t>% Ch in EBITDA</t>
  </si>
  <si>
    <t>% Ch in Net Profit</t>
  </si>
  <si>
    <t>% Ch in CFO</t>
  </si>
  <si>
    <t>Main Business</t>
  </si>
  <si>
    <t>EBITDA (Core operating profit)</t>
  </si>
  <si>
    <t>FV/PV</t>
  </si>
  <si>
    <t>Calculating Future Value - FV = PV*(1 + rate)^N  or you use excel function FV</t>
  </si>
  <si>
    <t>Rate of interest</t>
  </si>
  <si>
    <t>No. of Years</t>
  </si>
  <si>
    <t>Money what you need to invest today; using text book formula</t>
  </si>
  <si>
    <t>Calculating Present Value; PV = FV /  (1 + rate) ^ N</t>
  </si>
  <si>
    <t>Net Present Value</t>
  </si>
  <si>
    <t>Investment is made today, at time = 0</t>
  </si>
  <si>
    <t>profits are coming in future; year 1, 2 and 3</t>
  </si>
  <si>
    <t>rate of interst</t>
  </si>
  <si>
    <t>Present Values</t>
  </si>
  <si>
    <t>profits</t>
  </si>
  <si>
    <t>cost</t>
  </si>
  <si>
    <t>net present value</t>
  </si>
  <si>
    <t>rate</t>
  </si>
  <si>
    <t>Cash Flows</t>
  </si>
  <si>
    <t>Initial Investment</t>
  </si>
  <si>
    <t>IRR (Internal Rate of Return)</t>
  </si>
  <si>
    <t>Annual return on the initial investment of 800,000</t>
  </si>
  <si>
    <t>Using excel in-built function</t>
  </si>
  <si>
    <t>Net Income</t>
  </si>
  <si>
    <t>Add: Non Cash Charges</t>
  </si>
  <si>
    <t>Exam: Depreciation, Amortization, Provisions, etc.</t>
  </si>
  <si>
    <t>Add: Interest Expense</t>
  </si>
  <si>
    <t>Change in Account Receivable</t>
  </si>
  <si>
    <t>Receivable Up; Cash Negative; Last Yr receivables - This Year receivables</t>
  </si>
  <si>
    <t>Change in Inventory</t>
  </si>
  <si>
    <t>Inventory Up; Cash Negative; Last Yr inventory - This Year inventory</t>
  </si>
  <si>
    <t>Change in Payable</t>
  </si>
  <si>
    <t>Payable Up, cash Up; This yr payable less last yr payable</t>
  </si>
  <si>
    <t>Cash flow from operations</t>
  </si>
  <si>
    <t>As interst is financing</t>
  </si>
  <si>
    <t>Add: Non Cash Charges - Dep &amp; Amort</t>
  </si>
  <si>
    <t>Add: Non Cash Charges - Provisions</t>
  </si>
  <si>
    <t>Add: Interest Expene (Non Operating)</t>
  </si>
  <si>
    <t>Change in Receivable</t>
  </si>
  <si>
    <t>Last Yr minus current year</t>
  </si>
  <si>
    <t>Current Year - Last Year</t>
  </si>
  <si>
    <t>Loss (Gain) from sale of assets</t>
  </si>
  <si>
    <t>Add: Dep &amp; Amort</t>
  </si>
  <si>
    <t>Add: Interest</t>
  </si>
  <si>
    <t>Change in Inventories</t>
  </si>
  <si>
    <t>Change in Receivables</t>
  </si>
  <si>
    <t>Change in Payables</t>
  </si>
  <si>
    <t>Isaac</t>
  </si>
  <si>
    <t>Oli</t>
  </si>
  <si>
    <t>Milly</t>
  </si>
  <si>
    <t>Change in Taxes Payables</t>
  </si>
  <si>
    <t>Brian</t>
  </si>
  <si>
    <t>Larry</t>
  </si>
  <si>
    <t>Curtly</t>
  </si>
  <si>
    <t>Capex Tangibles</t>
  </si>
  <si>
    <t>Capex Intangibles</t>
  </si>
  <si>
    <t>Is Capex ???</t>
  </si>
  <si>
    <t>Opening Net PP&amp;E</t>
  </si>
  <si>
    <t xml:space="preserve"> Based on Formula</t>
  </si>
  <si>
    <t>Reported by the Co.</t>
  </si>
  <si>
    <t>Capex</t>
  </si>
  <si>
    <t>Capital Expenditure</t>
  </si>
  <si>
    <t>Change in Debt</t>
  </si>
  <si>
    <t>Change in Share Capital</t>
  </si>
  <si>
    <t>Change in Share Premium</t>
  </si>
  <si>
    <t>Net Cash Flow</t>
  </si>
  <si>
    <t>Opening Cash Balance</t>
  </si>
  <si>
    <t>E actual</t>
  </si>
  <si>
    <t>Sale of Assets</t>
  </si>
  <si>
    <t>Cash Flow form Investing</t>
  </si>
  <si>
    <t>Change in Equity</t>
  </si>
  <si>
    <t>Cash flow from Financing</t>
  </si>
  <si>
    <t>Opening Cash Bal</t>
  </si>
  <si>
    <t>Closing Cash Bal</t>
  </si>
  <si>
    <t>Op Bal</t>
  </si>
  <si>
    <t>Capex ?</t>
  </si>
  <si>
    <t>Deprecation</t>
  </si>
  <si>
    <t>Sale</t>
  </si>
  <si>
    <t>capex</t>
  </si>
  <si>
    <t>Profitability Ratios</t>
  </si>
  <si>
    <t>Gross Profit Margin</t>
  </si>
  <si>
    <t>Profitability Ratio</t>
  </si>
  <si>
    <t>Cola</t>
  </si>
  <si>
    <t>Blue</t>
  </si>
  <si>
    <t>Comments</t>
  </si>
  <si>
    <t>EBITDA Margin</t>
  </si>
  <si>
    <t>EBIT Margin</t>
  </si>
  <si>
    <t>Net Profit Margin</t>
  </si>
  <si>
    <t>Similar</t>
  </si>
  <si>
    <t>Blue is better, as it has higher number</t>
  </si>
  <si>
    <t>Return Ratios</t>
  </si>
  <si>
    <t>Share capital + Share Premium + Retained Earnings</t>
  </si>
  <si>
    <t>Return on Equity</t>
  </si>
  <si>
    <t>Net Profit / Total Shareholders Equity</t>
  </si>
  <si>
    <t>Total Invested Capital</t>
  </si>
  <si>
    <t>Total debt (Long term or short term) + Total Equity</t>
  </si>
  <si>
    <t>Return on Invested Capital</t>
  </si>
  <si>
    <t>Return on Equity (ROE)</t>
  </si>
  <si>
    <t>Return on Invested Capital (ROIC)</t>
  </si>
  <si>
    <t>Return on Assets (ROA)</t>
  </si>
  <si>
    <t>Cola is better, because its higher</t>
  </si>
  <si>
    <t>Other Income/Expenses</t>
  </si>
  <si>
    <t>Taxes</t>
  </si>
  <si>
    <t>Net Profit Before NCI</t>
  </si>
  <si>
    <t>NCI</t>
  </si>
  <si>
    <t>Cash &amp; Equivalents</t>
  </si>
  <si>
    <t>Intangible Assets</t>
  </si>
  <si>
    <t>Short Term Dept</t>
  </si>
  <si>
    <t>Other Current Libiliate</t>
  </si>
  <si>
    <t>Total Current Libibilates</t>
  </si>
  <si>
    <t>Long term Dept</t>
  </si>
  <si>
    <t>Other non Current libilates</t>
  </si>
  <si>
    <t>Total Libilates</t>
  </si>
  <si>
    <t>Retained earnings</t>
  </si>
  <si>
    <t>Non Controlling Interest</t>
  </si>
  <si>
    <t>Total Shareholders Equity</t>
  </si>
  <si>
    <t>Leverage and coverage</t>
  </si>
  <si>
    <t xml:space="preserve">Dept </t>
  </si>
  <si>
    <t>Equity</t>
  </si>
  <si>
    <t>Dept to Equity Ratio</t>
  </si>
  <si>
    <t>Total Capital</t>
  </si>
  <si>
    <t>Dept to Capital Ratio</t>
  </si>
  <si>
    <t>Dept To EBITDA Ratio</t>
  </si>
  <si>
    <t>EBITDA To Interest Coverage</t>
  </si>
  <si>
    <t>Liquity Ratio &amp; Days</t>
  </si>
  <si>
    <t>Leverage &amp; Coverage Ratios:</t>
  </si>
  <si>
    <t>Debt To Equity Ratio</t>
  </si>
  <si>
    <t>Dept to capital Ratio</t>
  </si>
  <si>
    <t>Dept to EBITDA</t>
  </si>
  <si>
    <t>blue is better because its lower</t>
  </si>
  <si>
    <t>blue is better because its higher</t>
  </si>
  <si>
    <t>EBITDA to Interest Coverage</t>
  </si>
  <si>
    <t>Current Libilates</t>
  </si>
  <si>
    <t>Current Ratio</t>
  </si>
  <si>
    <t>Higher better</t>
  </si>
  <si>
    <t>Current Assets - inventory</t>
  </si>
  <si>
    <t>Current Libilites</t>
  </si>
  <si>
    <t>Quick Ratio</t>
  </si>
  <si>
    <t>Liquity Ratio &amp; Days ratios:</t>
  </si>
  <si>
    <t xml:space="preserve"> </t>
  </si>
  <si>
    <t>Average receivables</t>
  </si>
  <si>
    <t xml:space="preserve">Receivable Days </t>
  </si>
  <si>
    <t xml:space="preserve">lower the better </t>
  </si>
  <si>
    <t xml:space="preserve">Average Inventory </t>
  </si>
  <si>
    <t xml:space="preserve">Cost of Sales </t>
  </si>
  <si>
    <t>Inventory Days</t>
  </si>
  <si>
    <t>Average Payable</t>
  </si>
  <si>
    <t>Payable Days</t>
  </si>
  <si>
    <t>Operating Cycle</t>
  </si>
  <si>
    <t>Lower the better</t>
  </si>
  <si>
    <t>cola is better because its higher</t>
  </si>
  <si>
    <t>Blue is better, because its higher</t>
  </si>
  <si>
    <t>cola is better because its lower</t>
  </si>
  <si>
    <t>Return on Assets</t>
  </si>
  <si>
    <t>Interest (Finance Charges)</t>
  </si>
  <si>
    <t>Share Capital (+ Hedging res)</t>
  </si>
  <si>
    <t>Short Term Debt</t>
  </si>
  <si>
    <t>Long term Debt</t>
  </si>
  <si>
    <t>STC</t>
  </si>
  <si>
    <t>Zain</t>
  </si>
  <si>
    <t>Long term debt</t>
  </si>
  <si>
    <t>Share capital</t>
  </si>
  <si>
    <t>COGS</t>
  </si>
  <si>
    <t>Interest expense</t>
  </si>
  <si>
    <t>Trade receivables</t>
  </si>
  <si>
    <t>Trade payables</t>
  </si>
  <si>
    <t>Net profit</t>
  </si>
  <si>
    <t>Income tax expense</t>
  </si>
  <si>
    <t>Interest payable</t>
  </si>
  <si>
    <t>Short term debt</t>
  </si>
  <si>
    <t>Dividend payments</t>
  </si>
  <si>
    <t>Growth Capex</t>
  </si>
  <si>
    <t>Maintenance capex</t>
  </si>
  <si>
    <t>Add: Non Cash</t>
  </si>
  <si>
    <t>Cash flow from Investments</t>
  </si>
  <si>
    <t>Closing Cash Balance</t>
  </si>
  <si>
    <t>Macers Corp</t>
  </si>
  <si>
    <t>Kelly Corp</t>
  </si>
  <si>
    <t>Prepaid Expense</t>
  </si>
  <si>
    <t>Unearned revenue</t>
  </si>
  <si>
    <t>Impairment on asset</t>
  </si>
  <si>
    <t>Gain  (Loss) on sale of asset</t>
  </si>
  <si>
    <t>Add/Less Non Operating</t>
  </si>
  <si>
    <t>Add: Impairment</t>
  </si>
  <si>
    <t>Change in Pre Paid Expense</t>
  </si>
  <si>
    <t>Change in Unearned Revenue</t>
  </si>
  <si>
    <t>Change in Trade Payables</t>
  </si>
  <si>
    <t>Non Cash Adjustments</t>
  </si>
  <si>
    <t>WC and other Adjustments</t>
  </si>
  <si>
    <t>Sale of Asset</t>
  </si>
  <si>
    <t>Dividend Payments</t>
  </si>
  <si>
    <t>Ratios</t>
  </si>
  <si>
    <t>Net Income Margin</t>
  </si>
  <si>
    <t>Macers Vs Kelly</t>
  </si>
  <si>
    <t>ROCE</t>
  </si>
  <si>
    <t>ROE</t>
  </si>
  <si>
    <t>Leverage &amp; Coverage</t>
  </si>
  <si>
    <t>Debt to Equity</t>
  </si>
  <si>
    <t>EBITDA/Interest Coverage</t>
  </si>
  <si>
    <t>Liquidity</t>
  </si>
  <si>
    <t>Working Capital Cycle</t>
  </si>
  <si>
    <t>Receivable Days</t>
  </si>
  <si>
    <t>Cash Conversion Cycle</t>
  </si>
  <si>
    <t>Workings</t>
  </si>
  <si>
    <t>Total Debt</t>
  </si>
  <si>
    <t>Debt/EBITDA (x)</t>
  </si>
  <si>
    <t>EBIT Normalized</t>
  </si>
  <si>
    <t>EBITDA Normalized</t>
  </si>
  <si>
    <t>Kelly</t>
  </si>
  <si>
    <t>Macers</t>
  </si>
  <si>
    <t>Opening Cash</t>
  </si>
  <si>
    <t>Net Change</t>
  </si>
  <si>
    <t>Closing Cash</t>
  </si>
  <si>
    <t>Change in Interest Payable</t>
  </si>
  <si>
    <t>Change in Short Term Debt</t>
  </si>
  <si>
    <t>Change in Long Term Debt</t>
  </si>
  <si>
    <t>Depreciation &amp; Amortization</t>
  </si>
  <si>
    <t>Dividends Payable</t>
  </si>
  <si>
    <t>Tangible Growth Capex</t>
  </si>
  <si>
    <t>Tangible Maintenance capex</t>
  </si>
  <si>
    <t>In Tangible Growth Capex</t>
  </si>
  <si>
    <t>In Tangible Maintenance Capex</t>
  </si>
  <si>
    <t>Total</t>
  </si>
  <si>
    <t>Impact of Balance sheet items on Cash flow Statement</t>
  </si>
  <si>
    <t>Impact of Income statement items on Cash flow Statement</t>
  </si>
  <si>
    <t>Start</t>
  </si>
  <si>
    <t>NI</t>
  </si>
  <si>
    <t>ADD back</t>
  </si>
  <si>
    <t>ADD Back</t>
  </si>
  <si>
    <t>Non cash expense ( Dep, Amortization, Depletion)</t>
  </si>
  <si>
    <t>Non operating expense  ( Impairments, Goodwill write off, asset write off, Loss on sale of assets etc)</t>
  </si>
  <si>
    <t>Substract</t>
  </si>
  <si>
    <t>Non Operating Gain ( Gain on sale of assets, scrap sale at profit, legal case win)</t>
  </si>
  <si>
    <t>Impact on Cash</t>
  </si>
  <si>
    <t>operating assets increasing</t>
  </si>
  <si>
    <t>Decrease</t>
  </si>
  <si>
    <t>operating assets decreasing</t>
  </si>
  <si>
    <t>Increase</t>
  </si>
  <si>
    <t>operating liabilities increasing</t>
  </si>
  <si>
    <t>operating Liabilities decreasing</t>
  </si>
  <si>
    <t>Cash flow statement has 3 categories</t>
  </si>
  <si>
    <t>Cash transacitons relate to day to day operations ( salaries, purchases etc)</t>
  </si>
  <si>
    <t>Cash transactions related to Capex, long term asset, purchase of intangibles</t>
  </si>
  <si>
    <t>CFF ( financing)</t>
  </si>
  <si>
    <t>Raising money through equity, Debt, paying dividends</t>
  </si>
  <si>
    <t>Previous Year - Current Year</t>
  </si>
  <si>
    <t>Current Year - Previous Year</t>
  </si>
  <si>
    <t>When I opened shop</t>
  </si>
  <si>
    <t>What happened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</si>
</sst>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;\(#,##0.0\);\-\-"/>
    <numFmt numFmtId="165" formatCode="0.0%"/>
    <numFmt numFmtId="166" formatCode="#,##0.0_);\(#,##0.0\)"/>
    <numFmt numFmtId="167" formatCode="0.0"/>
    <numFmt numFmtId="168" formatCode="#,##0.0_);\(#,##0.0\);\-\-_)"/>
    <numFmt numFmtId="169" formatCode="dd\-mmm\-yy;&quot;nm&quot;;&quot;nm&quot;;"/>
    <numFmt numFmtId="170" formatCode="0\ &quot;days&quot;_);\(0\ &quot;days&quot;\);\-\-\ &quot;days&quot;_)"/>
    <numFmt numFmtId="171" formatCode="#,##0.0_);\(#,##0.0\);\-_)"/>
    <numFmt numFmtId="172" formatCode="0.0\x;&quot;nm&quot;_x;&quot;nm&quot;_x"/>
    <numFmt numFmtId="173" formatCode="0.0%_);\(0.0%\);\-\-&quot;%&quot;_)"/>
    <numFmt numFmtId="174" formatCode="#,##0.000_);\(#,##0.000\);\-\-_)"/>
  </numFmts>
  <fonts count="21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168" fontId="0" fillId="0" borderId="0"/>
    <xf numFmtId="173" fontId="14" fillId="0" borderId="0" applyFont="0" applyFill="0" applyBorder="0" applyAlignment="0" applyProtection="0"/>
    <xf numFmtId="0" fontId="11" fillId="5" borderId="0" applyNumberFormat="0" applyBorder="0" applyAlignment="0" applyProtection="0"/>
    <xf numFmtId="0" fontId="10" fillId="0" borderId="3" applyNumberFormat="0" applyFill="0" applyAlignment="0" applyProtection="0"/>
    <xf numFmtId="168" fontId="14" fillId="10" borderId="0" applyNumberFormat="0" applyFont="0" applyBorder="0" applyAlignment="0" applyProtection="0"/>
    <xf numFmtId="171" fontId="15" fillId="0" borderId="1" applyNumberFormat="0" applyFill="0" applyAlignment="0" applyProtection="0"/>
    <xf numFmtId="0" fontId="12" fillId="8" borderId="0" applyNumberFormat="0" applyBorder="0" applyAlignment="0" applyProtection="0"/>
    <xf numFmtId="168" fontId="13" fillId="0" borderId="0" applyNumberFormat="0" applyBorder="0"/>
    <xf numFmtId="169" fontId="12" fillId="5" borderId="0" applyFill="0" applyBorder="0" applyAlignment="0" applyProtection="0"/>
    <xf numFmtId="170" fontId="14" fillId="0" borderId="0" applyFont="0" applyFill="0" applyBorder="0" applyAlignment="0" applyProtection="0"/>
    <xf numFmtId="171" fontId="14" fillId="9" borderId="4" applyNumberFormat="0" applyFont="0" applyAlignment="0" applyProtection="0"/>
    <xf numFmtId="0" fontId="11" fillId="5" borderId="0" applyNumberFormat="0" applyBorder="0" applyAlignment="0" applyProtection="0"/>
    <xf numFmtId="171" fontId="14" fillId="7" borderId="0" applyNumberFormat="0" applyBorder="0" applyProtection="0"/>
    <xf numFmtId="172" fontId="14" fillId="0" borderId="0" applyFont="0" applyFill="0" applyBorder="0" applyAlignment="0" applyProtection="0"/>
    <xf numFmtId="168" fontId="1" fillId="11" borderId="4" applyNumberFormat="0">
      <alignment horizontal="center"/>
    </xf>
    <xf numFmtId="171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</cellStyleXfs>
  <cellXfs count="81">
    <xf numFmtId="168" fontId="0" fillId="0" borderId="0" xfId="0"/>
    <xf numFmtId="168" fontId="2" fillId="0" borderId="0" xfId="0" applyFont="1"/>
    <xf numFmtId="168" fontId="1" fillId="0" borderId="0" xfId="0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68" fontId="3" fillId="0" borderId="0" xfId="0" applyFont="1"/>
    <xf numFmtId="168" fontId="0" fillId="0" borderId="1" xfId="0" applyBorder="1"/>
    <xf numFmtId="168" fontId="1" fillId="0" borderId="1" xfId="0" applyFont="1" applyBorder="1"/>
    <xf numFmtId="168" fontId="1" fillId="0" borderId="0" xfId="0" applyFont="1"/>
    <xf numFmtId="168" fontId="0" fillId="2" borderId="0" xfId="0" applyFill="1"/>
    <xf numFmtId="168" fontId="1" fillId="2" borderId="1" xfId="0" applyFont="1" applyFill="1" applyBorder="1"/>
    <xf numFmtId="168" fontId="0" fillId="0" borderId="0" xfId="0" applyAlignment="1">
      <alignment horizontal="center"/>
    </xf>
    <xf numFmtId="168" fontId="1" fillId="0" borderId="1" xfId="0" applyFont="1" applyBorder="1" applyAlignment="1">
      <alignment horizontal="center"/>
    </xf>
    <xf numFmtId="173" fontId="0" fillId="0" borderId="0" xfId="1" applyFont="1"/>
    <xf numFmtId="173" fontId="0" fillId="0" borderId="0" xfId="1" applyFont="1" applyAlignment="1">
      <alignment horizontal="center"/>
    </xf>
    <xf numFmtId="168" fontId="1" fillId="3" borderId="1" xfId="0" applyFont="1" applyFill="1" applyBorder="1"/>
    <xf numFmtId="0" fontId="1" fillId="3" borderId="1" xfId="0" applyNumberFormat="1" applyFont="1" applyFill="1" applyBorder="1" applyAlignment="1">
      <alignment horizontal="center"/>
    </xf>
    <xf numFmtId="168" fontId="1" fillId="3" borderId="0" xfId="0" applyFont="1" applyFill="1"/>
    <xf numFmtId="165" fontId="0" fillId="0" borderId="0" xfId="1" applyNumberFormat="1" applyFont="1" applyAlignment="1">
      <alignment horizontal="center"/>
    </xf>
    <xf numFmtId="168" fontId="1" fillId="4" borderId="1" xfId="0" applyFont="1" applyFill="1" applyBorder="1"/>
    <xf numFmtId="168" fontId="4" fillId="0" borderId="0" xfId="0" applyFont="1"/>
    <xf numFmtId="168" fontId="4" fillId="2" borderId="0" xfId="0" applyFont="1" applyFill="1"/>
    <xf numFmtId="168" fontId="1" fillId="4" borderId="1" xfId="0" applyFont="1" applyFill="1" applyBorder="1" applyAlignment="1">
      <alignment horizontal="center"/>
    </xf>
    <xf numFmtId="168" fontId="0" fillId="6" borderId="0" xfId="0" applyFill="1"/>
    <xf numFmtId="168" fontId="0" fillId="0" borderId="2" xfId="0" applyBorder="1"/>
    <xf numFmtId="168" fontId="0" fillId="6" borderId="2" xfId="0" applyFill="1" applyBorder="1"/>
    <xf numFmtId="173" fontId="0" fillId="0" borderId="2" xfId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1" fillId="5" borderId="0" xfId="2" applyNumberFormat="1"/>
    <xf numFmtId="168" fontId="0" fillId="0" borderId="0" xfId="0" applyAlignment="1">
      <alignment horizontal="left"/>
    </xf>
    <xf numFmtId="173" fontId="1" fillId="0" borderId="1" xfId="1" applyFont="1" applyBorder="1"/>
    <xf numFmtId="0" fontId="1" fillId="0" borderId="0" xfId="0" applyNumberFormat="1" applyFont="1" applyAlignment="1">
      <alignment horizontal="center"/>
    </xf>
    <xf numFmtId="168" fontId="5" fillId="0" borderId="0" xfId="0" applyFont="1"/>
    <xf numFmtId="168" fontId="6" fillId="0" borderId="0" xfId="0" applyFont="1"/>
    <xf numFmtId="164" fontId="1" fillId="0" borderId="1" xfId="0" applyNumberFormat="1" applyFont="1" applyBorder="1"/>
    <xf numFmtId="167" fontId="0" fillId="0" borderId="0" xfId="1" applyNumberFormat="1" applyFont="1"/>
    <xf numFmtId="173" fontId="0" fillId="0" borderId="1" xfId="1" applyFont="1" applyBorder="1"/>
    <xf numFmtId="0" fontId="0" fillId="0" borderId="1" xfId="1" applyNumberFormat="1" applyFont="1" applyBorder="1"/>
    <xf numFmtId="2" fontId="0" fillId="0" borderId="1" xfId="1" applyNumberFormat="1" applyFont="1" applyBorder="1"/>
    <xf numFmtId="167" fontId="0" fillId="0" borderId="1" xfId="1" applyNumberFormat="1" applyFont="1" applyBorder="1"/>
    <xf numFmtId="168" fontId="7" fillId="0" borderId="0" xfId="0" applyFont="1"/>
    <xf numFmtId="168" fontId="8" fillId="0" borderId="0" xfId="0" applyFont="1"/>
    <xf numFmtId="168" fontId="8" fillId="0" borderId="0" xfId="0" applyFont="1" applyAlignment="1">
      <alignment horizontal="center"/>
    </xf>
    <xf numFmtId="173" fontId="8" fillId="0" borderId="0" xfId="1" applyFont="1"/>
    <xf numFmtId="168" fontId="9" fillId="0" borderId="0" xfId="0" applyFont="1"/>
    <xf numFmtId="173" fontId="7" fillId="0" borderId="0" xfId="1" applyFont="1"/>
    <xf numFmtId="167" fontId="7" fillId="0" borderId="0" xfId="1" applyNumberFormat="1" applyFont="1"/>
    <xf numFmtId="2" fontId="7" fillId="0" borderId="0" xfId="1" applyNumberFormat="1" applyFont="1"/>
    <xf numFmtId="166" fontId="0" fillId="0" borderId="0" xfId="0" applyNumberFormat="1"/>
    <xf numFmtId="167" fontId="1" fillId="0" borderId="1" xfId="1" applyNumberFormat="1" applyFont="1" applyBorder="1"/>
    <xf numFmtId="167" fontId="8" fillId="0" borderId="0" xfId="1" applyNumberFormat="1" applyFont="1"/>
    <xf numFmtId="2" fontId="8" fillId="0" borderId="0" xfId="1" applyNumberFormat="1" applyFont="1"/>
    <xf numFmtId="169" fontId="12" fillId="0" borderId="0" xfId="8" applyFill="1"/>
    <xf numFmtId="168" fontId="10" fillId="0" borderId="3" xfId="3" applyNumberFormat="1"/>
    <xf numFmtId="168" fontId="15" fillId="0" borderId="1" xfId="5" applyNumberFormat="1"/>
    <xf numFmtId="169" fontId="1" fillId="11" borderId="4" xfId="14" applyNumberFormat="1">
      <alignment horizontal="center"/>
    </xf>
    <xf numFmtId="168" fontId="1" fillId="11" borderId="4" xfId="14">
      <alignment horizontal="center"/>
    </xf>
    <xf numFmtId="168" fontId="15" fillId="0" borderId="5" xfId="15" applyNumberFormat="1"/>
    <xf numFmtId="168" fontId="16" fillId="0" borderId="6" xfId="16" applyNumberFormat="1"/>
    <xf numFmtId="168" fontId="15" fillId="0" borderId="2" xfId="0" applyFont="1" applyBorder="1"/>
    <xf numFmtId="168" fontId="18" fillId="0" borderId="0" xfId="0" applyFont="1"/>
    <xf numFmtId="168" fontId="17" fillId="0" borderId="7" xfId="17" applyNumberFormat="1"/>
    <xf numFmtId="172" fontId="0" fillId="0" borderId="0" xfId="13" applyFont="1"/>
    <xf numFmtId="170" fontId="0" fillId="0" borderId="0" xfId="9" applyFont="1"/>
    <xf numFmtId="168" fontId="15" fillId="0" borderId="1" xfId="0" applyFont="1" applyBorder="1"/>
    <xf numFmtId="168" fontId="11" fillId="5" borderId="0" xfId="11" applyNumberFormat="1" applyAlignment="1">
      <alignment horizontal="center"/>
    </xf>
    <xf numFmtId="0" fontId="1" fillId="11" borderId="4" xfId="14" applyNumberFormat="1">
      <alignment horizontal="center"/>
    </xf>
    <xf numFmtId="172" fontId="0" fillId="0" borderId="0" xfId="13" applyFont="1" applyAlignment="1">
      <alignment horizontal="center"/>
    </xf>
    <xf numFmtId="170" fontId="0" fillId="0" borderId="0" xfId="9" applyFont="1" applyAlignment="1">
      <alignment horizontal="center"/>
    </xf>
    <xf numFmtId="168" fontId="15" fillId="0" borderId="0" xfId="0" applyFont="1"/>
    <xf numFmtId="168" fontId="0" fillId="0" borderId="8" xfId="0" applyBorder="1"/>
    <xf numFmtId="168" fontId="0" fillId="0" borderId="5" xfId="0" applyBorder="1"/>
    <xf numFmtId="168" fontId="0" fillId="0" borderId="9" xfId="0" applyBorder="1"/>
    <xf numFmtId="168" fontId="0" fillId="0" borderId="10" xfId="0" applyBorder="1"/>
    <xf numFmtId="168" fontId="19" fillId="0" borderId="0" xfId="0" applyFont="1"/>
    <xf numFmtId="168" fontId="20" fillId="0" borderId="11" xfId="0" applyFont="1" applyBorder="1"/>
    <xf numFmtId="168" fontId="0" fillId="0" borderId="11" xfId="0" applyBorder="1"/>
    <xf numFmtId="168" fontId="0" fillId="0" borderId="12" xfId="0" applyBorder="1"/>
    <xf numFmtId="168" fontId="20" fillId="0" borderId="2" xfId="0" applyFont="1" applyBorder="1"/>
    <xf numFmtId="168" fontId="19" fillId="0" borderId="13" xfId="0" applyFont="1" applyBorder="1"/>
    <xf numFmtId="174" fontId="0" fillId="0" borderId="0" xfId="0" applyNumberFormat="1"/>
  </cellXfs>
  <cellStyles count="18">
    <cellStyle name="Accent1" xfId="2" builtinId="29" customBuiltin="1"/>
    <cellStyle name="Blank" xfId="6" xr:uid="{B123550C-2FFB-463A-8815-0E4020091E3C}"/>
    <cellStyle name="CellName" xfId="7" xr:uid="{4981D2FA-EFBC-4782-B6EF-4770EDB7533D}"/>
    <cellStyle name="Date" xfId="8" xr:uid="{BC216FDE-7E8B-4D2F-9838-B3952224A551}"/>
    <cellStyle name="Days" xfId="9" xr:uid="{8209C585-3C86-46A7-A603-42431464A539}"/>
    <cellStyle name="Deviant" xfId="10" xr:uid="{AA294383-CEB5-42D3-8770-E5CAF23B868F}"/>
    <cellStyle name="Header" xfId="11" xr:uid="{9B72D3EB-CA38-4988-B0FB-EEB57A731D3E}"/>
    <cellStyle name="Heading 1" xfId="16" builtinId="16"/>
    <cellStyle name="Heading 2" xfId="3" builtinId="17"/>
    <cellStyle name="Heading 3" xfId="17" builtinId="18"/>
    <cellStyle name="Inputs" xfId="12" xr:uid="{54BB9637-59A6-4FDC-A12D-AE73A500BC02}"/>
    <cellStyle name="Multiple1" xfId="13" xr:uid="{064EC4AB-AD13-497D-A4BE-83259F015AAB}"/>
    <cellStyle name="Normal" xfId="0" builtinId="0" customBuiltin="1"/>
    <cellStyle name="Output" xfId="4" builtinId="21" customBuiltin="1"/>
    <cellStyle name="Percent" xfId="1" builtinId="5" customBuiltin="1"/>
    <cellStyle name="Section Header" xfId="14" xr:uid="{8445F730-FDA8-4579-8147-AA043514414B}"/>
    <cellStyle name="Subtotal" xfId="15" xr:uid="{8B75DC6F-0A6E-41EE-850D-1D46F3E0E0B5}"/>
    <cellStyle name="Total" xfId="5" builtinId="25" customBuiltin="1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44546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4691-B434-4802-A7EF-229DCE0A7C87}">
  <dimension ref="B2:D21"/>
  <sheetViews>
    <sheetView topLeftCell="A31" zoomScale="190" zoomScaleNormal="190" workbookViewId="0">
      <selection activeCell="B39" sqref="B39"/>
    </sheetView>
  </sheetViews>
  <sheetFormatPr defaultRowHeight="13" x14ac:dyDescent="0.3"/>
  <cols>
    <col min="2" max="2" width="16.296875" customWidth="1"/>
    <col min="3" max="3" width="25.09765625" customWidth="1"/>
    <col min="4" max="4" width="28.19921875" customWidth="1"/>
  </cols>
  <sheetData>
    <row r="2" spans="2:4" x14ac:dyDescent="0.3">
      <c r="B2" t="s">
        <v>337</v>
      </c>
      <c r="C2" t="s">
        <v>338</v>
      </c>
    </row>
    <row r="4" spans="2:4" x14ac:dyDescent="0.3">
      <c r="B4" s="69" t="s">
        <v>336</v>
      </c>
    </row>
    <row r="5" spans="2:4" x14ac:dyDescent="0.3">
      <c r="B5" t="s">
        <v>339</v>
      </c>
      <c r="C5" t="s">
        <v>341</v>
      </c>
    </row>
    <row r="6" spans="2:4" x14ac:dyDescent="0.3">
      <c r="B6" t="s">
        <v>340</v>
      </c>
      <c r="C6" t="s">
        <v>342</v>
      </c>
    </row>
    <row r="7" spans="2:4" x14ac:dyDescent="0.3">
      <c r="B7" t="s">
        <v>343</v>
      </c>
      <c r="C7" t="s">
        <v>344</v>
      </c>
    </row>
    <row r="9" spans="2:4" x14ac:dyDescent="0.3">
      <c r="B9" s="69" t="s">
        <v>335</v>
      </c>
    </row>
    <row r="11" spans="2:4" x14ac:dyDescent="0.3">
      <c r="B11" s="70"/>
      <c r="C11" s="71" t="s">
        <v>346</v>
      </c>
      <c r="D11" s="72" t="s">
        <v>348</v>
      </c>
    </row>
    <row r="12" spans="2:4" x14ac:dyDescent="0.3">
      <c r="B12" s="73" t="s">
        <v>345</v>
      </c>
      <c r="C12" s="74" t="s">
        <v>347</v>
      </c>
      <c r="D12" s="75" t="s">
        <v>349</v>
      </c>
    </row>
    <row r="13" spans="2:4" ht="6" customHeight="1" x14ac:dyDescent="0.3">
      <c r="B13" s="73"/>
      <c r="D13" s="76"/>
    </row>
    <row r="14" spans="2:4" x14ac:dyDescent="0.3">
      <c r="B14" s="73"/>
      <c r="C14" t="s">
        <v>350</v>
      </c>
      <c r="D14" s="76" t="s">
        <v>351</v>
      </c>
    </row>
    <row r="15" spans="2:4" x14ac:dyDescent="0.3">
      <c r="B15" s="77" t="s">
        <v>345</v>
      </c>
      <c r="C15" s="78" t="s">
        <v>349</v>
      </c>
      <c r="D15" s="79" t="s">
        <v>347</v>
      </c>
    </row>
    <row r="17" spans="2:3" x14ac:dyDescent="0.3">
      <c r="B17" t="s">
        <v>352</v>
      </c>
    </row>
    <row r="19" spans="2:3" x14ac:dyDescent="0.3">
      <c r="B19" t="s">
        <v>103</v>
      </c>
      <c r="C19" t="s">
        <v>353</v>
      </c>
    </row>
    <row r="20" spans="2:3" x14ac:dyDescent="0.3">
      <c r="B20" t="s">
        <v>104</v>
      </c>
      <c r="C20" t="s">
        <v>354</v>
      </c>
    </row>
    <row r="21" spans="2:3" x14ac:dyDescent="0.3">
      <c r="B21" t="s">
        <v>355</v>
      </c>
      <c r="C21" t="s">
        <v>356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106"/>
  <sheetViews>
    <sheetView zoomScale="110" zoomScaleNormal="110" workbookViewId="0">
      <pane xSplit="4" ySplit="3" topLeftCell="E4" activePane="bottomRight" state="frozen"/>
      <selection activeCell="Y30" sqref="Y30"/>
      <selection pane="topRight" activeCell="Y30" sqref="Y30"/>
      <selection pane="bottomLeft" activeCell="Y30" sqref="Y30"/>
      <selection pane="bottomRight" activeCell="Y30" sqref="Y30"/>
    </sheetView>
  </sheetViews>
  <sheetFormatPr defaultRowHeight="13" outlineLevelCol="1" x14ac:dyDescent="0.3"/>
  <cols>
    <col min="1" max="2" width="1.69921875" customWidth="1"/>
    <col min="3" max="3" width="27.3984375" customWidth="1"/>
    <col min="4" max="4" width="1.69921875" customWidth="1"/>
    <col min="6" max="7" width="9.8984375" hidden="1" customWidth="1" outlineLevel="1"/>
    <col min="8" max="8" width="11.296875" hidden="1" customWidth="1" outlineLevel="1"/>
    <col min="9" max="10" width="9.8984375" hidden="1" customWidth="1" outlineLevel="1"/>
    <col min="11" max="11" width="10.8984375" hidden="1" customWidth="1" outlineLevel="1"/>
    <col min="12" max="12" width="11.296875" hidden="1" customWidth="1" outlineLevel="1"/>
    <col min="13" max="13" width="9.8984375" hidden="1" customWidth="1" outlineLevel="1"/>
    <col min="14" max="17" width="9.09765625" hidden="1" customWidth="1" outlineLevel="1"/>
    <col min="18" max="18" width="9.8984375" hidden="1" customWidth="1" outlineLevel="1"/>
    <col min="19" max="19" width="11.296875" customWidth="1" collapsed="1"/>
    <col min="20" max="22" width="1.69921875" customWidth="1"/>
    <col min="23" max="23" width="35.09765625" customWidth="1"/>
  </cols>
  <sheetData>
    <row r="1" spans="1:32" ht="14.5" x14ac:dyDescent="0.35">
      <c r="C1" s="1" t="s">
        <v>46</v>
      </c>
    </row>
    <row r="2" spans="1:32" x14ac:dyDescent="0.3">
      <c r="C2" t="str">
        <f>IF(SUM(E19:S19)=0,"OK","Error")</f>
        <v>OK</v>
      </c>
    </row>
    <row r="3" spans="1:32" ht="14.5" x14ac:dyDescent="0.35">
      <c r="A3" s="5" t="s">
        <v>1</v>
      </c>
      <c r="E3" s="2">
        <v>0</v>
      </c>
      <c r="F3" s="2">
        <f>E3+1</f>
        <v>1</v>
      </c>
      <c r="G3" s="2">
        <f t="shared" ref="G3:R3" si="0">F3+1</f>
        <v>2</v>
      </c>
      <c r="H3" s="2">
        <f t="shared" si="0"/>
        <v>3</v>
      </c>
      <c r="I3" s="2">
        <f t="shared" si="0"/>
        <v>4</v>
      </c>
      <c r="J3" s="2">
        <f t="shared" si="0"/>
        <v>5</v>
      </c>
      <c r="K3" s="2">
        <f t="shared" si="0"/>
        <v>6</v>
      </c>
      <c r="L3" s="2">
        <f t="shared" si="0"/>
        <v>7</v>
      </c>
      <c r="M3" s="2">
        <f t="shared" si="0"/>
        <v>8</v>
      </c>
      <c r="N3" s="2">
        <f t="shared" si="0"/>
        <v>9</v>
      </c>
      <c r="O3" s="2">
        <f t="shared" si="0"/>
        <v>10</v>
      </c>
      <c r="P3" s="2">
        <f t="shared" si="0"/>
        <v>11</v>
      </c>
      <c r="Q3" s="2">
        <f t="shared" si="0"/>
        <v>12</v>
      </c>
      <c r="R3" s="2">
        <f t="shared" si="0"/>
        <v>13</v>
      </c>
      <c r="S3" s="2" t="s">
        <v>11</v>
      </c>
      <c r="U3" t="s">
        <v>84</v>
      </c>
    </row>
    <row r="4" spans="1:32" ht="14.5" x14ac:dyDescent="0.35">
      <c r="C4" t="s">
        <v>6</v>
      </c>
      <c r="E4">
        <v>476</v>
      </c>
      <c r="F4">
        <f>3010</f>
        <v>3010</v>
      </c>
      <c r="G4">
        <f>-850</f>
        <v>-850</v>
      </c>
      <c r="H4">
        <v>-634</v>
      </c>
      <c r="I4">
        <v>-530</v>
      </c>
      <c r="J4">
        <f>-141</f>
        <v>-141</v>
      </c>
      <c r="K4">
        <v>23</v>
      </c>
      <c r="L4">
        <v>7</v>
      </c>
      <c r="N4">
        <v>-169</v>
      </c>
      <c r="O4">
        <v>-294</v>
      </c>
      <c r="P4">
        <v>50</v>
      </c>
      <c r="Q4">
        <f>650-180</f>
        <v>470</v>
      </c>
      <c r="R4">
        <v>-230</v>
      </c>
      <c r="S4">
        <f>SUM(E4:R4)</f>
        <v>1188</v>
      </c>
      <c r="V4" s="5" t="s">
        <v>85</v>
      </c>
    </row>
    <row r="5" spans="1:32" x14ac:dyDescent="0.3">
      <c r="C5" t="s">
        <v>7</v>
      </c>
      <c r="E5">
        <v>870</v>
      </c>
      <c r="F5">
        <f>3125-3010</f>
        <v>115</v>
      </c>
      <c r="S5">
        <f t="shared" ref="S5:S8" si="1">SUM(E5:R5)</f>
        <v>985</v>
      </c>
      <c r="W5" t="s">
        <v>135</v>
      </c>
      <c r="X5">
        <f>S30</f>
        <v>770</v>
      </c>
    </row>
    <row r="6" spans="1:32" x14ac:dyDescent="0.3">
      <c r="C6" t="s">
        <v>8</v>
      </c>
      <c r="E6">
        <v>1765</v>
      </c>
      <c r="G6">
        <f>900-945</f>
        <v>-45</v>
      </c>
      <c r="S6">
        <f t="shared" si="1"/>
        <v>1720</v>
      </c>
      <c r="W6" t="s">
        <v>147</v>
      </c>
      <c r="X6">
        <f>-S25</f>
        <v>283</v>
      </c>
    </row>
    <row r="7" spans="1:32" x14ac:dyDescent="0.3">
      <c r="C7" t="s">
        <v>47</v>
      </c>
      <c r="E7">
        <v>4300</v>
      </c>
      <c r="I7">
        <f>530-197</f>
        <v>333</v>
      </c>
      <c r="K7">
        <v>-21</v>
      </c>
      <c r="S7">
        <f t="shared" si="1"/>
        <v>4612</v>
      </c>
      <c r="W7" t="s">
        <v>148</v>
      </c>
      <c r="X7">
        <f>-S27</f>
        <v>29</v>
      </c>
    </row>
    <row r="8" spans="1:32" x14ac:dyDescent="0.3">
      <c r="C8" t="s">
        <v>37</v>
      </c>
      <c r="E8">
        <v>950</v>
      </c>
      <c r="J8">
        <f>141-86</f>
        <v>55</v>
      </c>
      <c r="L8">
        <v>-10</v>
      </c>
      <c r="S8">
        <f t="shared" si="1"/>
        <v>995</v>
      </c>
      <c r="W8" t="s">
        <v>149</v>
      </c>
      <c r="X8">
        <f>-S28</f>
        <v>169</v>
      </c>
    </row>
    <row r="9" spans="1:32" ht="14.5" x14ac:dyDescent="0.35">
      <c r="B9" s="7" t="s">
        <v>10</v>
      </c>
      <c r="C9" s="7"/>
      <c r="D9" s="7"/>
      <c r="E9" s="7">
        <f>SUM(E4:E8)</f>
        <v>8361</v>
      </c>
      <c r="F9" s="7">
        <f t="shared" ref="F9:S9" si="2">SUM(F4:F8)</f>
        <v>3125</v>
      </c>
      <c r="G9" s="7">
        <f t="shared" si="2"/>
        <v>-895</v>
      </c>
      <c r="H9" s="7">
        <f t="shared" si="2"/>
        <v>-634</v>
      </c>
      <c r="I9" s="7">
        <f t="shared" si="2"/>
        <v>-197</v>
      </c>
      <c r="J9" s="7">
        <f t="shared" si="2"/>
        <v>-86</v>
      </c>
      <c r="K9" s="7">
        <f t="shared" si="2"/>
        <v>2</v>
      </c>
      <c r="L9" s="7">
        <f t="shared" si="2"/>
        <v>-3</v>
      </c>
      <c r="M9" s="7">
        <f t="shared" si="2"/>
        <v>0</v>
      </c>
      <c r="N9" s="7">
        <f t="shared" si="2"/>
        <v>-169</v>
      </c>
      <c r="O9" s="7">
        <f t="shared" si="2"/>
        <v>-294</v>
      </c>
      <c r="P9" s="7">
        <f t="shared" si="2"/>
        <v>50</v>
      </c>
      <c r="Q9" s="7">
        <f t="shared" si="2"/>
        <v>470</v>
      </c>
      <c r="R9" s="7">
        <f t="shared" si="2"/>
        <v>-230</v>
      </c>
      <c r="S9" s="7">
        <f t="shared" si="2"/>
        <v>9500</v>
      </c>
      <c r="W9" t="s">
        <v>153</v>
      </c>
      <c r="X9">
        <f>-S26</f>
        <v>1</v>
      </c>
    </row>
    <row r="10" spans="1:32" ht="14.5" x14ac:dyDescent="0.35">
      <c r="V10" s="5"/>
      <c r="W10" t="s">
        <v>150</v>
      </c>
      <c r="X10">
        <f>E5-S5</f>
        <v>-115</v>
      </c>
      <c r="Y10" t="s">
        <v>151</v>
      </c>
    </row>
    <row r="11" spans="1:32" x14ac:dyDescent="0.3">
      <c r="C11" t="s">
        <v>12</v>
      </c>
      <c r="E11">
        <v>890</v>
      </c>
      <c r="G11">
        <f>900-850</f>
        <v>50</v>
      </c>
      <c r="S11">
        <f>SUM(E11:R11)</f>
        <v>940</v>
      </c>
      <c r="W11" t="s">
        <v>141</v>
      </c>
      <c r="X11">
        <f>E6-S6</f>
        <v>45</v>
      </c>
      <c r="Y11" t="s">
        <v>151</v>
      </c>
    </row>
    <row r="12" spans="1:32" x14ac:dyDescent="0.3">
      <c r="C12" t="s">
        <v>60</v>
      </c>
      <c r="E12">
        <v>120</v>
      </c>
      <c r="M12">
        <v>29</v>
      </c>
      <c r="S12">
        <f t="shared" ref="S12:S16" si="3">SUM(E12:R12)</f>
        <v>149</v>
      </c>
      <c r="W12" t="s">
        <v>143</v>
      </c>
      <c r="X12">
        <f>S11-E11</f>
        <v>50</v>
      </c>
      <c r="Y12" t="s">
        <v>152</v>
      </c>
    </row>
    <row r="13" spans="1:32" ht="14.5" x14ac:dyDescent="0.35">
      <c r="C13" t="s">
        <v>17</v>
      </c>
      <c r="E13">
        <v>2875</v>
      </c>
      <c r="Q13">
        <f>650-180</f>
        <v>470</v>
      </c>
      <c r="S13">
        <f t="shared" si="3"/>
        <v>3345</v>
      </c>
      <c r="W13" s="7" t="s">
        <v>82</v>
      </c>
      <c r="X13" s="7">
        <f>SUM(X5:X12)</f>
        <v>1232</v>
      </c>
    </row>
    <row r="14" spans="1:32" ht="14.5" x14ac:dyDescent="0.35">
      <c r="C14" t="s">
        <v>13</v>
      </c>
      <c r="E14">
        <v>232</v>
      </c>
      <c r="P14">
        <v>1</v>
      </c>
      <c r="S14">
        <f t="shared" si="3"/>
        <v>233</v>
      </c>
      <c r="V14" s="5" t="s">
        <v>90</v>
      </c>
      <c r="Z14" t="s">
        <v>26</v>
      </c>
      <c r="AA14">
        <v>4300</v>
      </c>
      <c r="AB14" t="s">
        <v>186</v>
      </c>
      <c r="AD14" t="s">
        <v>26</v>
      </c>
      <c r="AE14">
        <v>950</v>
      </c>
      <c r="AF14" t="s">
        <v>186</v>
      </c>
    </row>
    <row r="15" spans="1:32" x14ac:dyDescent="0.3">
      <c r="C15" t="s">
        <v>14</v>
      </c>
      <c r="E15">
        <v>128</v>
      </c>
      <c r="P15">
        <v>49</v>
      </c>
      <c r="S15">
        <f t="shared" si="3"/>
        <v>177</v>
      </c>
      <c r="W15" t="s">
        <v>166</v>
      </c>
      <c r="X15">
        <v>-530</v>
      </c>
      <c r="Z15" t="s">
        <v>2</v>
      </c>
      <c r="AB15" t="s">
        <v>187</v>
      </c>
      <c r="AD15" t="s">
        <v>2</v>
      </c>
      <c r="AF15" t="s">
        <v>187</v>
      </c>
    </row>
    <row r="16" spans="1:32" x14ac:dyDescent="0.3">
      <c r="C16" t="s">
        <v>15</v>
      </c>
      <c r="E16">
        <v>4116</v>
      </c>
      <c r="F16">
        <f>F32</f>
        <v>3125</v>
      </c>
      <c r="G16">
        <f t="shared" ref="G16:R16" si="4">G32</f>
        <v>-945</v>
      </c>
      <c r="H16">
        <f t="shared" si="4"/>
        <v>-634</v>
      </c>
      <c r="I16">
        <f t="shared" si="4"/>
        <v>-197</v>
      </c>
      <c r="J16">
        <f t="shared" si="4"/>
        <v>-86</v>
      </c>
      <c r="K16">
        <f t="shared" si="4"/>
        <v>2</v>
      </c>
      <c r="L16">
        <f t="shared" si="4"/>
        <v>-3</v>
      </c>
      <c r="M16">
        <f t="shared" si="4"/>
        <v>-29</v>
      </c>
      <c r="N16">
        <f t="shared" si="4"/>
        <v>-169</v>
      </c>
      <c r="O16">
        <f t="shared" si="4"/>
        <v>-294</v>
      </c>
      <c r="P16">
        <f t="shared" si="4"/>
        <v>0</v>
      </c>
      <c r="Q16">
        <f t="shared" si="4"/>
        <v>0</v>
      </c>
      <c r="R16">
        <f t="shared" si="4"/>
        <v>-230</v>
      </c>
      <c r="S16">
        <f t="shared" si="3"/>
        <v>4656</v>
      </c>
      <c r="W16" t="s">
        <v>167</v>
      </c>
      <c r="X16">
        <v>-141</v>
      </c>
      <c r="Z16" t="s">
        <v>27</v>
      </c>
      <c r="AA16">
        <v>-197</v>
      </c>
      <c r="AB16" t="s">
        <v>188</v>
      </c>
      <c r="AD16" t="s">
        <v>27</v>
      </c>
      <c r="AE16">
        <v>-86</v>
      </c>
      <c r="AF16" t="s">
        <v>40</v>
      </c>
    </row>
    <row r="17" spans="1:32" ht="14.5" x14ac:dyDescent="0.35">
      <c r="B17" s="7" t="s">
        <v>16</v>
      </c>
      <c r="C17" s="7"/>
      <c r="D17" s="7"/>
      <c r="E17" s="7">
        <f>SUM(E11:E16)</f>
        <v>8361</v>
      </c>
      <c r="F17" s="7">
        <f t="shared" ref="F17:S17" si="5">SUM(F11:F16)</f>
        <v>3125</v>
      </c>
      <c r="G17" s="7">
        <f t="shared" si="5"/>
        <v>-895</v>
      </c>
      <c r="H17" s="7">
        <f t="shared" si="5"/>
        <v>-634</v>
      </c>
      <c r="I17" s="7">
        <f t="shared" si="5"/>
        <v>-197</v>
      </c>
      <c r="J17" s="7">
        <f t="shared" si="5"/>
        <v>-86</v>
      </c>
      <c r="K17" s="7">
        <f t="shared" si="5"/>
        <v>2</v>
      </c>
      <c r="L17" s="7">
        <f t="shared" si="5"/>
        <v>-3</v>
      </c>
      <c r="M17" s="7">
        <f t="shared" si="5"/>
        <v>0</v>
      </c>
      <c r="N17" s="7">
        <f t="shared" si="5"/>
        <v>-169</v>
      </c>
      <c r="O17" s="7">
        <f t="shared" si="5"/>
        <v>-294</v>
      </c>
      <c r="P17" s="7">
        <f t="shared" si="5"/>
        <v>50</v>
      </c>
      <c r="Q17" s="7">
        <f t="shared" si="5"/>
        <v>470</v>
      </c>
      <c r="R17" s="7">
        <f t="shared" si="5"/>
        <v>-230</v>
      </c>
      <c r="S17" s="7">
        <f t="shared" si="5"/>
        <v>9500</v>
      </c>
      <c r="V17" s="5"/>
      <c r="W17" t="s">
        <v>180</v>
      </c>
      <c r="X17">
        <f>23+7</f>
        <v>30</v>
      </c>
      <c r="Z17" t="s">
        <v>27</v>
      </c>
      <c r="AA17">
        <v>-21</v>
      </c>
      <c r="AB17" t="s">
        <v>189</v>
      </c>
      <c r="AD17" t="s">
        <v>27</v>
      </c>
      <c r="AE17">
        <v>-10</v>
      </c>
      <c r="AF17" t="s">
        <v>189</v>
      </c>
    </row>
    <row r="18" spans="1:32" ht="14.5" x14ac:dyDescent="0.35">
      <c r="W18" s="7" t="s">
        <v>181</v>
      </c>
      <c r="X18" s="7">
        <f>SUM(X15:X17)</f>
        <v>-641</v>
      </c>
      <c r="Z18" s="7" t="s">
        <v>3</v>
      </c>
      <c r="AA18" s="7">
        <f>SUM(AA14:AA17)</f>
        <v>4082</v>
      </c>
      <c r="AB18" s="7"/>
      <c r="AD18" s="7" t="s">
        <v>3</v>
      </c>
      <c r="AE18" s="7">
        <f>SUM(AE14:AE17)</f>
        <v>854</v>
      </c>
      <c r="AF18" s="7"/>
    </row>
    <row r="19" spans="1:32" ht="14.5" x14ac:dyDescent="0.35">
      <c r="C19" t="s">
        <v>28</v>
      </c>
      <c r="E19">
        <f>E9-E17</f>
        <v>0</v>
      </c>
      <c r="F19">
        <f t="shared" ref="F19:S19" si="6">F9-F17</f>
        <v>0</v>
      </c>
      <c r="G19">
        <f t="shared" si="6"/>
        <v>0</v>
      </c>
      <c r="H19">
        <f t="shared" si="6"/>
        <v>0</v>
      </c>
      <c r="I19">
        <f t="shared" si="6"/>
        <v>0</v>
      </c>
      <c r="J19">
        <f t="shared" si="6"/>
        <v>0</v>
      </c>
      <c r="K19">
        <f t="shared" si="6"/>
        <v>0</v>
      </c>
      <c r="L19">
        <f t="shared" si="6"/>
        <v>0</v>
      </c>
      <c r="M19">
        <f t="shared" si="6"/>
        <v>0</v>
      </c>
      <c r="N19">
        <f t="shared" si="6"/>
        <v>0</v>
      </c>
      <c r="O19">
        <f t="shared" si="6"/>
        <v>0</v>
      </c>
      <c r="P19">
        <f t="shared" si="6"/>
        <v>0</v>
      </c>
      <c r="R19">
        <f t="shared" si="6"/>
        <v>0</v>
      </c>
      <c r="S19">
        <f t="shared" si="6"/>
        <v>0</v>
      </c>
      <c r="V19" s="5" t="s">
        <v>94</v>
      </c>
      <c r="Z19" t="s">
        <v>179</v>
      </c>
      <c r="AA19">
        <v>4612</v>
      </c>
      <c r="AD19" t="s">
        <v>179</v>
      </c>
      <c r="AE19">
        <v>995</v>
      </c>
    </row>
    <row r="20" spans="1:32" x14ac:dyDescent="0.3">
      <c r="W20" t="s">
        <v>97</v>
      </c>
      <c r="X20">
        <f>S28</f>
        <v>-169</v>
      </c>
      <c r="Z20" t="s">
        <v>190</v>
      </c>
      <c r="AA20">
        <f>AA19-AA18</f>
        <v>530</v>
      </c>
      <c r="AD20" t="s">
        <v>190</v>
      </c>
      <c r="AE20">
        <f>AE18-AE19</f>
        <v>-141</v>
      </c>
    </row>
    <row r="21" spans="1:32" ht="14.5" x14ac:dyDescent="0.35">
      <c r="A21" s="5" t="s">
        <v>0</v>
      </c>
      <c r="W21" t="s">
        <v>98</v>
      </c>
      <c r="X21">
        <f>S31</f>
        <v>-230</v>
      </c>
    </row>
    <row r="22" spans="1:32" x14ac:dyDescent="0.3">
      <c r="C22" t="s">
        <v>5</v>
      </c>
      <c r="F22">
        <v>3125</v>
      </c>
      <c r="S22">
        <f>SUM(E22:R22)</f>
        <v>3125</v>
      </c>
      <c r="W22" t="s">
        <v>174</v>
      </c>
      <c r="X22">
        <f>S13-E13</f>
        <v>470</v>
      </c>
    </row>
    <row r="23" spans="1:32" x14ac:dyDescent="0.3">
      <c r="C23" t="s">
        <v>18</v>
      </c>
      <c r="G23">
        <v>-945</v>
      </c>
      <c r="S23">
        <f t="shared" ref="S23:S31" si="7">SUM(E23:R23)</f>
        <v>-945</v>
      </c>
      <c r="W23" t="s">
        <v>182</v>
      </c>
      <c r="X23">
        <f>SUM(S14:S15)-SUM(E14:E15)</f>
        <v>50</v>
      </c>
    </row>
    <row r="24" spans="1:32" ht="14.5" x14ac:dyDescent="0.35">
      <c r="C24" t="s">
        <v>19</v>
      </c>
      <c r="H24">
        <v>-634</v>
      </c>
      <c r="S24">
        <f t="shared" si="7"/>
        <v>-634</v>
      </c>
      <c r="W24" s="7" t="s">
        <v>183</v>
      </c>
      <c r="X24" s="7">
        <f>SUM(X20:X23)</f>
        <v>121</v>
      </c>
    </row>
    <row r="25" spans="1:32" x14ac:dyDescent="0.3">
      <c r="C25" t="s">
        <v>20</v>
      </c>
      <c r="I25">
        <v>-197</v>
      </c>
      <c r="J25">
        <v>-86</v>
      </c>
      <c r="S25">
        <f t="shared" si="7"/>
        <v>-283</v>
      </c>
    </row>
    <row r="26" spans="1:32" x14ac:dyDescent="0.3">
      <c r="C26" t="s">
        <v>59</v>
      </c>
      <c r="K26">
        <v>2</v>
      </c>
      <c r="L26">
        <v>-3</v>
      </c>
      <c r="S26">
        <f t="shared" si="7"/>
        <v>-1</v>
      </c>
      <c r="W26" t="s">
        <v>177</v>
      </c>
      <c r="X26">
        <f>SUM(X24,X18,X13)</f>
        <v>712</v>
      </c>
    </row>
    <row r="27" spans="1:32" x14ac:dyDescent="0.3">
      <c r="C27" t="s">
        <v>60</v>
      </c>
      <c r="M27">
        <v>-29</v>
      </c>
      <c r="S27">
        <f t="shared" si="7"/>
        <v>-29</v>
      </c>
      <c r="W27" t="s">
        <v>184</v>
      </c>
      <c r="X27">
        <f>476</f>
        <v>476</v>
      </c>
    </row>
    <row r="28" spans="1:32" ht="14.5" x14ac:dyDescent="0.35">
      <c r="C28" t="s">
        <v>21</v>
      </c>
      <c r="N28">
        <v>-169</v>
      </c>
      <c r="S28">
        <f t="shared" si="7"/>
        <v>-169</v>
      </c>
      <c r="W28" s="7" t="s">
        <v>185</v>
      </c>
      <c r="X28" s="7">
        <f>SUM(X26:X27)</f>
        <v>1188</v>
      </c>
    </row>
    <row r="29" spans="1:32" x14ac:dyDescent="0.3">
      <c r="C29" t="s">
        <v>22</v>
      </c>
      <c r="O29">
        <v>-294</v>
      </c>
      <c r="S29">
        <f t="shared" si="7"/>
        <v>-294</v>
      </c>
    </row>
    <row r="30" spans="1:32" ht="14.5" x14ac:dyDescent="0.35">
      <c r="B30" s="7" t="s">
        <v>23</v>
      </c>
      <c r="C30" s="7"/>
      <c r="D30" s="7"/>
      <c r="E30" s="7">
        <f t="shared" ref="E30:K30" si="8">SUM(E22:E29)</f>
        <v>0</v>
      </c>
      <c r="F30" s="7">
        <f t="shared" si="8"/>
        <v>3125</v>
      </c>
      <c r="G30" s="7">
        <f t="shared" si="8"/>
        <v>-945</v>
      </c>
      <c r="H30" s="7">
        <f t="shared" si="8"/>
        <v>-634</v>
      </c>
      <c r="I30" s="7">
        <f t="shared" si="8"/>
        <v>-197</v>
      </c>
      <c r="J30" s="7">
        <f t="shared" si="8"/>
        <v>-86</v>
      </c>
      <c r="K30" s="7">
        <f t="shared" si="8"/>
        <v>2</v>
      </c>
      <c r="L30" s="7">
        <f>SUM(L23:L29)</f>
        <v>-3</v>
      </c>
      <c r="M30" s="7">
        <f t="shared" ref="M30:S30" si="9">SUM(M22:M29)</f>
        <v>-29</v>
      </c>
      <c r="N30" s="7">
        <f t="shared" si="9"/>
        <v>-169</v>
      </c>
      <c r="O30" s="7">
        <f t="shared" si="9"/>
        <v>-294</v>
      </c>
      <c r="P30" s="7">
        <f t="shared" si="9"/>
        <v>0</v>
      </c>
      <c r="Q30" s="7">
        <f t="shared" si="9"/>
        <v>0</v>
      </c>
      <c r="R30" s="7">
        <f t="shared" si="9"/>
        <v>0</v>
      </c>
      <c r="S30" s="7">
        <f t="shared" si="9"/>
        <v>770</v>
      </c>
    </row>
    <row r="31" spans="1:32" x14ac:dyDescent="0.3">
      <c r="C31" t="s">
        <v>24</v>
      </c>
      <c r="R31">
        <v>-230</v>
      </c>
      <c r="S31">
        <f t="shared" si="7"/>
        <v>-230</v>
      </c>
    </row>
    <row r="32" spans="1:32" ht="14.5" x14ac:dyDescent="0.35">
      <c r="B32" s="7" t="s">
        <v>25</v>
      </c>
      <c r="C32" s="7"/>
      <c r="D32" s="7"/>
      <c r="E32" s="7">
        <f>SUM(E30:E31)</f>
        <v>0</v>
      </c>
      <c r="F32" s="7">
        <f t="shared" ref="F32:S32" si="10">SUM(F30:F31)</f>
        <v>3125</v>
      </c>
      <c r="G32" s="7">
        <f t="shared" si="10"/>
        <v>-945</v>
      </c>
      <c r="H32" s="7">
        <f t="shared" si="10"/>
        <v>-634</v>
      </c>
      <c r="I32" s="7">
        <f t="shared" si="10"/>
        <v>-197</v>
      </c>
      <c r="J32" s="7">
        <f t="shared" si="10"/>
        <v>-86</v>
      </c>
      <c r="K32" s="7">
        <f t="shared" si="10"/>
        <v>2</v>
      </c>
      <c r="L32" s="7">
        <f t="shared" si="10"/>
        <v>-3</v>
      </c>
      <c r="M32" s="7">
        <f t="shared" si="10"/>
        <v>-29</v>
      </c>
      <c r="N32" s="7">
        <f t="shared" si="10"/>
        <v>-169</v>
      </c>
      <c r="O32" s="7">
        <f t="shared" si="10"/>
        <v>-294</v>
      </c>
      <c r="P32" s="7">
        <f t="shared" si="10"/>
        <v>0</v>
      </c>
      <c r="Q32" s="7">
        <f t="shared" si="10"/>
        <v>0</v>
      </c>
      <c r="R32" s="7">
        <f t="shared" si="10"/>
        <v>-230</v>
      </c>
      <c r="S32" s="7">
        <f t="shared" si="10"/>
        <v>540</v>
      </c>
    </row>
    <row r="34" spans="1:19" x14ac:dyDescent="0.3">
      <c r="C34" t="s">
        <v>31</v>
      </c>
      <c r="S34" s="9">
        <f>S22+S23</f>
        <v>2180</v>
      </c>
    </row>
    <row r="35" spans="1:19" x14ac:dyDescent="0.3">
      <c r="C35" t="s">
        <v>32</v>
      </c>
      <c r="S35" s="9">
        <f>S34+S24</f>
        <v>1546</v>
      </c>
    </row>
    <row r="36" spans="1:19" x14ac:dyDescent="0.3">
      <c r="C36" t="s">
        <v>33</v>
      </c>
      <c r="S36" s="9">
        <f>S35+S25</f>
        <v>1263</v>
      </c>
    </row>
    <row r="37" spans="1:19" x14ac:dyDescent="0.3">
      <c r="C37" t="s">
        <v>23</v>
      </c>
      <c r="S37" s="9">
        <f>S36+S28+S29</f>
        <v>800</v>
      </c>
    </row>
    <row r="39" spans="1:19" x14ac:dyDescent="0.3">
      <c r="C39" t="s">
        <v>41</v>
      </c>
      <c r="E39">
        <f>SUM(E4:E6)</f>
        <v>3111</v>
      </c>
      <c r="S39">
        <f>SUM(S4:S6)</f>
        <v>3893</v>
      </c>
    </row>
    <row r="40" spans="1:19" x14ac:dyDescent="0.3">
      <c r="C40" t="s">
        <v>42</v>
      </c>
      <c r="E40">
        <f>SUM(E7:E8)</f>
        <v>5250</v>
      </c>
      <c r="S40">
        <f>SUM(S7:S8)</f>
        <v>5607</v>
      </c>
    </row>
    <row r="42" spans="1:19" x14ac:dyDescent="0.3">
      <c r="C42" t="s">
        <v>43</v>
      </c>
      <c r="E42">
        <f>SUM(E11:E12)</f>
        <v>1010</v>
      </c>
      <c r="S42">
        <f>SUM(S11:S12)</f>
        <v>1089</v>
      </c>
    </row>
    <row r="43" spans="1:19" x14ac:dyDescent="0.3">
      <c r="C43" t="s">
        <v>44</v>
      </c>
      <c r="E43">
        <f>SUM(E13)</f>
        <v>2875</v>
      </c>
      <c r="S43">
        <f>SUM(S13)</f>
        <v>3345</v>
      </c>
    </row>
    <row r="45" spans="1:19" x14ac:dyDescent="0.3">
      <c r="C45" t="s">
        <v>45</v>
      </c>
      <c r="E45">
        <f>SUM(E14:E16)</f>
        <v>4476</v>
      </c>
      <c r="S45">
        <f>SUM(S14:S16)</f>
        <v>5066</v>
      </c>
    </row>
    <row r="47" spans="1:19" ht="14.5" x14ac:dyDescent="0.35">
      <c r="A47" s="5" t="s">
        <v>191</v>
      </c>
    </row>
    <row r="48" spans="1:19" ht="14.5" x14ac:dyDescent="0.35">
      <c r="A48" s="5"/>
    </row>
    <row r="49" spans="1:23" x14ac:dyDescent="0.3">
      <c r="C49" t="s">
        <v>31</v>
      </c>
      <c r="S49">
        <f>S34</f>
        <v>2180</v>
      </c>
    </row>
    <row r="50" spans="1:23" x14ac:dyDescent="0.3">
      <c r="C50" t="s">
        <v>5</v>
      </c>
      <c r="S50">
        <f>S22</f>
        <v>3125</v>
      </c>
    </row>
    <row r="51" spans="1:23" ht="14.5" x14ac:dyDescent="0.35">
      <c r="B51" s="7" t="s">
        <v>192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30">
        <f>S49/S50</f>
        <v>0.6976</v>
      </c>
    </row>
    <row r="52" spans="1:23" x14ac:dyDescent="0.3">
      <c r="C52" t="s">
        <v>32</v>
      </c>
      <c r="S52">
        <f>S35</f>
        <v>1546</v>
      </c>
    </row>
    <row r="53" spans="1:23" x14ac:dyDescent="0.3">
      <c r="C53" t="s">
        <v>5</v>
      </c>
      <c r="S53">
        <f>S50</f>
        <v>3125</v>
      </c>
    </row>
    <row r="54" spans="1:23" ht="14.5" x14ac:dyDescent="0.35">
      <c r="B54" s="7" t="s">
        <v>197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30">
        <f>S52/S53</f>
        <v>0.49471999999999999</v>
      </c>
    </row>
    <row r="55" spans="1:23" x14ac:dyDescent="0.3">
      <c r="C55" t="s">
        <v>33</v>
      </c>
      <c r="S55">
        <f>S36</f>
        <v>1263</v>
      </c>
    </row>
    <row r="56" spans="1:23" x14ac:dyDescent="0.3">
      <c r="C56" t="s">
        <v>5</v>
      </c>
      <c r="S56">
        <f>S53</f>
        <v>3125</v>
      </c>
    </row>
    <row r="57" spans="1:23" ht="14.5" x14ac:dyDescent="0.35">
      <c r="B57" s="7" t="s">
        <v>198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30">
        <f>S55/S56</f>
        <v>0.40416000000000002</v>
      </c>
    </row>
    <row r="58" spans="1:23" x14ac:dyDescent="0.3">
      <c r="C58" t="s">
        <v>23</v>
      </c>
      <c r="S58">
        <f>S37</f>
        <v>800</v>
      </c>
    </row>
    <row r="59" spans="1:23" x14ac:dyDescent="0.3">
      <c r="C59" t="s">
        <v>5</v>
      </c>
      <c r="S59">
        <f>S56</f>
        <v>3125</v>
      </c>
    </row>
    <row r="60" spans="1:23" ht="14.5" x14ac:dyDescent="0.35">
      <c r="B60" s="7" t="s">
        <v>199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30">
        <f>S58/S59</f>
        <v>0.25600000000000001</v>
      </c>
    </row>
    <row r="62" spans="1:23" ht="14.5" x14ac:dyDescent="0.35">
      <c r="A62" s="5" t="s">
        <v>202</v>
      </c>
    </row>
    <row r="63" spans="1:23" x14ac:dyDescent="0.3">
      <c r="C63" t="s">
        <v>23</v>
      </c>
      <c r="S63">
        <f>S37</f>
        <v>800</v>
      </c>
    </row>
    <row r="64" spans="1:23" x14ac:dyDescent="0.3">
      <c r="C64" t="s">
        <v>45</v>
      </c>
      <c r="S64">
        <f>S45</f>
        <v>5066</v>
      </c>
      <c r="W64" t="s">
        <v>203</v>
      </c>
    </row>
    <row r="65" spans="1:23" ht="14.5" x14ac:dyDescent="0.35">
      <c r="B65" s="7" t="s">
        <v>204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30">
        <f>S63/S64</f>
        <v>0.15791551519936833</v>
      </c>
      <c r="W65" t="s">
        <v>205</v>
      </c>
    </row>
    <row r="66" spans="1:23" x14ac:dyDescent="0.3">
      <c r="C66" t="s">
        <v>33</v>
      </c>
      <c r="S66">
        <f>S36</f>
        <v>1263</v>
      </c>
    </row>
    <row r="67" spans="1:23" x14ac:dyDescent="0.3">
      <c r="C67" t="s">
        <v>206</v>
      </c>
      <c r="S67">
        <f>S13+S64</f>
        <v>8411</v>
      </c>
      <c r="W67" t="s">
        <v>207</v>
      </c>
    </row>
    <row r="68" spans="1:23" ht="14.5" x14ac:dyDescent="0.35">
      <c r="B68" s="7" t="s">
        <v>208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30">
        <f>S66/S67</f>
        <v>0.15016050410177148</v>
      </c>
    </row>
    <row r="69" spans="1:23" x14ac:dyDescent="0.3">
      <c r="C69" t="s">
        <v>33</v>
      </c>
      <c r="S69">
        <f>S66</f>
        <v>1263</v>
      </c>
    </row>
    <row r="70" spans="1:23" x14ac:dyDescent="0.3">
      <c r="C70" t="s">
        <v>10</v>
      </c>
      <c r="S70">
        <f>S9</f>
        <v>9500</v>
      </c>
    </row>
    <row r="71" spans="1:23" ht="14.5" x14ac:dyDescent="0.35">
      <c r="B71" s="7" t="s">
        <v>208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30">
        <f>S69/S70</f>
        <v>0.13294736842105262</v>
      </c>
    </row>
    <row r="73" spans="1:23" x14ac:dyDescent="0.3">
      <c r="A73" t="s">
        <v>228</v>
      </c>
    </row>
    <row r="74" spans="1:23" x14ac:dyDescent="0.3">
      <c r="C74" t="s">
        <v>229</v>
      </c>
      <c r="S74">
        <f>S13</f>
        <v>3345</v>
      </c>
    </row>
    <row r="75" spans="1:23" x14ac:dyDescent="0.3">
      <c r="C75" t="s">
        <v>230</v>
      </c>
      <c r="S75">
        <f>S45</f>
        <v>5066</v>
      </c>
    </row>
    <row r="76" spans="1:23" x14ac:dyDescent="0.3">
      <c r="A76" s="6"/>
      <c r="B76" s="6" t="s">
        <v>231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36">
        <f>S74/S75</f>
        <v>0.66028424792735885</v>
      </c>
    </row>
    <row r="77" spans="1:23" x14ac:dyDescent="0.3">
      <c r="C77" t="s">
        <v>229</v>
      </c>
      <c r="S77">
        <f>S74</f>
        <v>3345</v>
      </c>
    </row>
    <row r="78" spans="1:23" x14ac:dyDescent="0.3">
      <c r="C78" t="s">
        <v>232</v>
      </c>
      <c r="S78">
        <f>S74+S75</f>
        <v>8411</v>
      </c>
    </row>
    <row r="79" spans="1:23" x14ac:dyDescent="0.3">
      <c r="A79" s="6"/>
      <c r="B79" s="6" t="s">
        <v>233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36">
        <f>S77/S78</f>
        <v>0.3976934966115801</v>
      </c>
    </row>
    <row r="80" spans="1:23" x14ac:dyDescent="0.3">
      <c r="C80" t="s">
        <v>229</v>
      </c>
      <c r="S80">
        <f>S77</f>
        <v>3345</v>
      </c>
    </row>
    <row r="81" spans="1:23" x14ac:dyDescent="0.3">
      <c r="C81" t="s">
        <v>32</v>
      </c>
      <c r="S81">
        <f>S52</f>
        <v>1546</v>
      </c>
    </row>
    <row r="82" spans="1:23" x14ac:dyDescent="0.3">
      <c r="A82" s="6"/>
      <c r="B82" s="6" t="s">
        <v>234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38">
        <f>S80/S81</f>
        <v>2.1636481241914618</v>
      </c>
    </row>
    <row r="83" spans="1:23" x14ac:dyDescent="0.3">
      <c r="C83" t="s">
        <v>32</v>
      </c>
      <c r="S83">
        <f>S81</f>
        <v>1546</v>
      </c>
    </row>
    <row r="84" spans="1:23" x14ac:dyDescent="0.3">
      <c r="C84" t="s">
        <v>21</v>
      </c>
      <c r="S84">
        <f>S28</f>
        <v>-169</v>
      </c>
    </row>
    <row r="85" spans="1:23" x14ac:dyDescent="0.3">
      <c r="A85" s="6"/>
      <c r="B85" s="6" t="s">
        <v>235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>
        <f>S83/-S84</f>
        <v>9.1479289940828394</v>
      </c>
    </row>
    <row r="87" spans="1:23" ht="14.5" x14ac:dyDescent="0.35">
      <c r="A87" s="5" t="s">
        <v>236</v>
      </c>
    </row>
    <row r="88" spans="1:23" x14ac:dyDescent="0.3">
      <c r="C88" t="s">
        <v>35</v>
      </c>
      <c r="S88">
        <f>S39</f>
        <v>3893</v>
      </c>
    </row>
    <row r="89" spans="1:23" x14ac:dyDescent="0.3">
      <c r="C89" t="s">
        <v>244</v>
      </c>
      <c r="S89">
        <f>S42</f>
        <v>1089</v>
      </c>
    </row>
    <row r="90" spans="1:23" x14ac:dyDescent="0.3">
      <c r="C90" s="6" t="s">
        <v>245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>
        <f>S88/S89</f>
        <v>3.5748393021120295</v>
      </c>
      <c r="W90" t="s">
        <v>246</v>
      </c>
    </row>
    <row r="91" spans="1:23" x14ac:dyDescent="0.3">
      <c r="C91" t="s">
        <v>247</v>
      </c>
      <c r="S91">
        <f>S39-S6</f>
        <v>2173</v>
      </c>
    </row>
    <row r="92" spans="1:23" x14ac:dyDescent="0.3">
      <c r="C92" t="s">
        <v>248</v>
      </c>
      <c r="S92">
        <f>S42</f>
        <v>1089</v>
      </c>
    </row>
    <row r="93" spans="1:23" x14ac:dyDescent="0.3">
      <c r="C93" s="6" t="s">
        <v>249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>
        <f>S91/S92</f>
        <v>1.9954086317722681</v>
      </c>
    </row>
    <row r="94" spans="1:23" x14ac:dyDescent="0.3">
      <c r="C94" t="s">
        <v>252</v>
      </c>
      <c r="S94">
        <f>(S5+E5)/2</f>
        <v>927.5</v>
      </c>
    </row>
    <row r="95" spans="1:23" x14ac:dyDescent="0.3">
      <c r="C95" t="s">
        <v>5</v>
      </c>
      <c r="S95">
        <f>S22</f>
        <v>3125</v>
      </c>
    </row>
    <row r="96" spans="1:23" x14ac:dyDescent="0.3">
      <c r="C96" s="6" t="s">
        <v>253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>
        <f>S94/S95*365</f>
        <v>108.33200000000001</v>
      </c>
      <c r="W96" t="s">
        <v>254</v>
      </c>
    </row>
    <row r="97" spans="3:23" x14ac:dyDescent="0.3">
      <c r="C97" t="s">
        <v>255</v>
      </c>
      <c r="S97">
        <f>(S6+E6)/2</f>
        <v>1742.5</v>
      </c>
    </row>
    <row r="98" spans="3:23" x14ac:dyDescent="0.3">
      <c r="C98" t="s">
        <v>256</v>
      </c>
      <c r="S98">
        <f>-S23</f>
        <v>945</v>
      </c>
    </row>
    <row r="99" spans="3:23" x14ac:dyDescent="0.3">
      <c r="C99" s="6" t="s">
        <v>257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f>S97/S98*365</f>
        <v>673.02910052910056</v>
      </c>
    </row>
    <row r="100" spans="3:23" x14ac:dyDescent="0.3">
      <c r="C100" t="s">
        <v>258</v>
      </c>
      <c r="S100">
        <f>(E11+S11)/2</f>
        <v>915</v>
      </c>
    </row>
    <row r="101" spans="3:23" x14ac:dyDescent="0.3">
      <c r="C101" t="s">
        <v>256</v>
      </c>
      <c r="S101">
        <f>S98</f>
        <v>945</v>
      </c>
    </row>
    <row r="102" spans="3:23" x14ac:dyDescent="0.3">
      <c r="C102" s="6" t="s">
        <v>259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>
        <f>S100/S101*365</f>
        <v>353.41269841269843</v>
      </c>
      <c r="W102" t="s">
        <v>246</v>
      </c>
    </row>
    <row r="103" spans="3:23" x14ac:dyDescent="0.3">
      <c r="C103" t="s">
        <v>253</v>
      </c>
      <c r="S103">
        <f>S96</f>
        <v>108.33200000000001</v>
      </c>
    </row>
    <row r="104" spans="3:23" x14ac:dyDescent="0.3">
      <c r="C104" t="s">
        <v>257</v>
      </c>
      <c r="S104">
        <f>S99</f>
        <v>673.02910052910056</v>
      </c>
    </row>
    <row r="105" spans="3:23" x14ac:dyDescent="0.3">
      <c r="C105" t="s">
        <v>259</v>
      </c>
      <c r="S105">
        <f>S102</f>
        <v>353.41269841269843</v>
      </c>
    </row>
    <row r="106" spans="3:23" x14ac:dyDescent="0.3">
      <c r="C106" s="6" t="s">
        <v>260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>
        <f>S103+S104-S105</f>
        <v>427.94840211640212</v>
      </c>
      <c r="W106" t="s">
        <v>261</v>
      </c>
    </row>
  </sheetData>
  <conditionalFormatting sqref="C2">
    <cfRule type="containsText" dxfId="1" priority="1" operator="containsText" text="error">
      <formula>NOT(ISERROR(SEARCH("error",C2)))</formula>
    </cfRule>
    <cfRule type="containsText" dxfId="0" priority="2" operator="containsText" text="ok">
      <formula>NOT(ISERROR(SEARCH("ok",C2)))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24"/>
  <sheetViews>
    <sheetView zoomScale="110" zoomScaleNormal="110" workbookViewId="0">
      <pane ySplit="2" topLeftCell="A3" activePane="bottomLeft" state="frozen"/>
      <selection activeCell="Y30" sqref="Y30"/>
      <selection pane="bottomLeft" activeCell="Y30" sqref="Y30"/>
    </sheetView>
  </sheetViews>
  <sheetFormatPr defaultColWidth="9.09765625" defaultRowHeight="14.5" x14ac:dyDescent="0.35"/>
  <cols>
    <col min="1" max="2" width="1.69921875" style="41" customWidth="1"/>
    <col min="3" max="3" width="30.8984375" style="41" customWidth="1"/>
    <col min="4" max="5" width="9.09765625" style="41"/>
    <col min="6" max="6" width="35.296875" style="41" customWidth="1"/>
    <col min="7" max="16384" width="9.09765625" style="41"/>
  </cols>
  <sheetData>
    <row r="2" spans="1:6" x14ac:dyDescent="0.35">
      <c r="A2" s="40" t="s">
        <v>193</v>
      </c>
      <c r="D2" s="42" t="s">
        <v>195</v>
      </c>
      <c r="E2" s="42" t="s">
        <v>194</v>
      </c>
      <c r="F2" s="41" t="s">
        <v>196</v>
      </c>
    </row>
    <row r="3" spans="1:6" x14ac:dyDescent="0.35">
      <c r="C3" s="41" t="s">
        <v>192</v>
      </c>
      <c r="D3" s="43">
        <f>'Blue Inc. v2'!S51</f>
        <v>0.6976</v>
      </c>
      <c r="E3" s="43">
        <f>'Cola Inc. v2'!$Q$49</f>
        <v>0.7</v>
      </c>
      <c r="F3" s="41" t="s">
        <v>200</v>
      </c>
    </row>
    <row r="4" spans="1:6" x14ac:dyDescent="0.35">
      <c r="C4" s="41" t="s">
        <v>197</v>
      </c>
      <c r="D4" s="43">
        <f>'Blue Inc. v2'!S54</f>
        <v>0.49471999999999999</v>
      </c>
      <c r="E4" s="43">
        <f>'Cola Inc. v2'!Q52</f>
        <v>0.46956521739130436</v>
      </c>
      <c r="F4" s="41" t="s">
        <v>201</v>
      </c>
    </row>
    <row r="5" spans="1:6" x14ac:dyDescent="0.35">
      <c r="C5" s="41" t="s">
        <v>198</v>
      </c>
      <c r="D5" s="43">
        <f>'Blue Inc. v2'!S57</f>
        <v>0.40416000000000002</v>
      </c>
      <c r="E5" s="43">
        <f>'Cola Inc. v2'!Q55</f>
        <v>0.37565217391304345</v>
      </c>
      <c r="F5" s="41" t="s">
        <v>201</v>
      </c>
    </row>
    <row r="6" spans="1:6" x14ac:dyDescent="0.35">
      <c r="C6" s="41" t="s">
        <v>199</v>
      </c>
      <c r="D6" s="43">
        <f>'Blue Inc. v2'!S60</f>
        <v>0.25600000000000001</v>
      </c>
      <c r="E6" s="43">
        <f>'Cola Inc. v2'!Q58</f>
        <v>0.23130434782608697</v>
      </c>
      <c r="F6" s="41" t="s">
        <v>201</v>
      </c>
    </row>
    <row r="8" spans="1:6" x14ac:dyDescent="0.35">
      <c r="A8" s="40" t="s">
        <v>202</v>
      </c>
    </row>
    <row r="9" spans="1:6" x14ac:dyDescent="0.35">
      <c r="C9" s="41" t="s">
        <v>209</v>
      </c>
      <c r="D9" s="43">
        <f>'Blue Inc. v2'!S65</f>
        <v>0.15791551519936833</v>
      </c>
      <c r="E9" s="43">
        <f>'Cola Inc. v2'!$Q$63</f>
        <v>0.21911037891268534</v>
      </c>
      <c r="F9" s="41" t="s">
        <v>212</v>
      </c>
    </row>
    <row r="10" spans="1:6" x14ac:dyDescent="0.35">
      <c r="C10" s="41" t="s">
        <v>210</v>
      </c>
      <c r="D10" s="43">
        <f>'Blue Inc. v2'!S68</f>
        <v>0.15016050410177148</v>
      </c>
      <c r="E10" s="43">
        <f>'Cola Inc. v2'!$Q$66</f>
        <v>0.18914185639229422</v>
      </c>
      <c r="F10" s="41" t="s">
        <v>212</v>
      </c>
    </row>
    <row r="11" spans="1:6" x14ac:dyDescent="0.35">
      <c r="C11" s="41" t="s">
        <v>211</v>
      </c>
      <c r="D11" s="43">
        <f>'Blue Inc. v2'!S71</f>
        <v>0.13294736842105262</v>
      </c>
      <c r="E11" s="43">
        <f>'Cola Inc. v2'!$Q$69</f>
        <v>0.16750678557580456</v>
      </c>
      <c r="F11" s="41" t="s">
        <v>212</v>
      </c>
    </row>
    <row r="13" spans="1:6" x14ac:dyDescent="0.35">
      <c r="A13" s="44" t="s">
        <v>237</v>
      </c>
    </row>
    <row r="14" spans="1:6" x14ac:dyDescent="0.35">
      <c r="C14" s="41" t="s">
        <v>238</v>
      </c>
      <c r="D14" s="45">
        <f>'Blue Inc. v2'!S76</f>
        <v>0.66028424792735885</v>
      </c>
      <c r="E14" s="45">
        <f>'Cola Inc. v2'!V30</f>
        <v>0.88138385502471173</v>
      </c>
      <c r="F14" s="41" t="s">
        <v>241</v>
      </c>
    </row>
    <row r="15" spans="1:6" x14ac:dyDescent="0.35">
      <c r="C15" s="41" t="s">
        <v>239</v>
      </c>
      <c r="D15" s="45">
        <f>'Blue Inc. v2'!S79</f>
        <v>0.3976934966115801</v>
      </c>
      <c r="E15" s="45">
        <f>'Cola Inc. v2'!V33</f>
        <v>0.46847635726795095</v>
      </c>
      <c r="F15" s="41" t="s">
        <v>241</v>
      </c>
    </row>
    <row r="16" spans="1:6" x14ac:dyDescent="0.35">
      <c r="C16" s="41" t="s">
        <v>240</v>
      </c>
      <c r="D16" s="46">
        <f>'Blue Inc. v2'!S82</f>
        <v>2.1636481241914618</v>
      </c>
      <c r="E16" s="47">
        <f>'Cola Inc. v2'!V36</f>
        <v>1.9814814814814814</v>
      </c>
    </row>
    <row r="17" spans="2:6" x14ac:dyDescent="0.35">
      <c r="C17" s="41" t="s">
        <v>243</v>
      </c>
      <c r="D17" s="46">
        <f>'Blue Inc. v2'!S85</f>
        <v>9.1479289940828394</v>
      </c>
      <c r="E17" s="47">
        <f>'Cola Inc. v2'!V39</f>
        <v>7.5</v>
      </c>
      <c r="F17" s="41" t="s">
        <v>242</v>
      </c>
    </row>
    <row r="18" spans="2:6" x14ac:dyDescent="0.35">
      <c r="B18" s="5" t="s">
        <v>250</v>
      </c>
    </row>
    <row r="19" spans="2:6" x14ac:dyDescent="0.35">
      <c r="C19" t="s">
        <v>245</v>
      </c>
      <c r="D19" s="41">
        <f>'Blue Inc. v2'!S90</f>
        <v>3.5748393021120295</v>
      </c>
      <c r="E19" s="41">
        <f>'Cola Inc. v2'!V44</f>
        <v>2.4542372881355932</v>
      </c>
      <c r="F19" s="41" t="s">
        <v>242</v>
      </c>
    </row>
    <row r="20" spans="2:6" x14ac:dyDescent="0.35">
      <c r="C20" s="6" t="s">
        <v>249</v>
      </c>
      <c r="D20" s="41">
        <f>'Blue Inc. v2'!S93</f>
        <v>1.9954086317722681</v>
      </c>
      <c r="E20" s="41">
        <f>'Cola Inc. v2'!V47</f>
        <v>1.271186440677966</v>
      </c>
      <c r="F20" s="41" t="s">
        <v>242</v>
      </c>
    </row>
    <row r="21" spans="2:6" x14ac:dyDescent="0.35">
      <c r="C21" t="s">
        <v>253</v>
      </c>
      <c r="D21" s="41">
        <f>'Blue Inc. v2'!S103</f>
        <v>108.33200000000001</v>
      </c>
      <c r="E21" s="41">
        <f>'Cola Inc. v2'!V57</f>
        <v>79.347826086956516</v>
      </c>
      <c r="F21" s="41" t="s">
        <v>262</v>
      </c>
    </row>
    <row r="22" spans="2:6" x14ac:dyDescent="0.35">
      <c r="C22" t="s">
        <v>257</v>
      </c>
      <c r="D22" s="41">
        <f>'Blue Inc. v2'!S104</f>
        <v>673.02910052910056</v>
      </c>
      <c r="E22" s="41">
        <f>'Cola Inc. v2'!V58</f>
        <v>367.64492753623188</v>
      </c>
      <c r="F22" s="41" t="s">
        <v>262</v>
      </c>
    </row>
    <row r="23" spans="2:6" x14ac:dyDescent="0.35">
      <c r="C23" t="s">
        <v>259</v>
      </c>
      <c r="D23" s="41">
        <f>'Blue Inc. v2'!S105</f>
        <v>353.41269841269843</v>
      </c>
      <c r="E23" s="41">
        <f>'Cola Inc. v2'!V59</f>
        <v>224.81884057971013</v>
      </c>
      <c r="F23" s="41" t="s">
        <v>263</v>
      </c>
    </row>
    <row r="24" spans="2:6" x14ac:dyDescent="0.35">
      <c r="C24" s="6" t="s">
        <v>260</v>
      </c>
      <c r="D24" s="41">
        <f>'Blue Inc. v2'!S106</f>
        <v>427.94840211640212</v>
      </c>
      <c r="E24" s="41">
        <f>'Cola Inc. v2'!V60</f>
        <v>222.17391304347825</v>
      </c>
      <c r="F24" s="41" t="s">
        <v>264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zoomScale="120" zoomScaleNormal="120" workbookViewId="0"/>
  </sheetViews>
  <sheetFormatPr defaultRowHeight="13" x14ac:dyDescent="0.3"/>
  <cols>
    <col min="1" max="1" width="26" customWidth="1"/>
    <col min="2" max="2" width="12.69921875" customWidth="1"/>
    <col min="3" max="3" width="26.09765625" customWidth="1"/>
    <col min="4" max="5" width="11" customWidth="1"/>
    <col min="6" max="6" width="24.59765625" customWidth="1"/>
    <col min="7" max="7" width="12.09765625" customWidth="1"/>
    <col min="8" max="9" width="13.69921875" customWidth="1"/>
  </cols>
  <sheetData>
    <row r="1" spans="1:10" ht="15.5" x14ac:dyDescent="0.35">
      <c r="A1" s="28" t="s">
        <v>116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3">
      <c r="A2" t="s">
        <v>48</v>
      </c>
      <c r="B2" s="11">
        <v>1000000</v>
      </c>
      <c r="F2" t="s">
        <v>54</v>
      </c>
      <c r="G2" s="11">
        <v>1000000</v>
      </c>
      <c r="H2" s="11">
        <v>1000000</v>
      </c>
      <c r="I2" s="11">
        <v>1000000</v>
      </c>
    </row>
    <row r="3" spans="1:10" x14ac:dyDescent="0.3">
      <c r="A3" t="s">
        <v>51</v>
      </c>
      <c r="B3" s="14">
        <v>0.02</v>
      </c>
      <c r="F3" t="s">
        <v>55</v>
      </c>
      <c r="G3" s="14">
        <v>0.02</v>
      </c>
      <c r="H3" s="14">
        <v>0.21</v>
      </c>
      <c r="I3" s="14">
        <v>0.22</v>
      </c>
    </row>
    <row r="4" spans="1:10" x14ac:dyDescent="0.3">
      <c r="A4" t="s">
        <v>49</v>
      </c>
      <c r="B4" s="11">
        <v>20</v>
      </c>
      <c r="F4" t="s">
        <v>56</v>
      </c>
      <c r="G4" s="11">
        <v>20</v>
      </c>
      <c r="H4" s="11">
        <v>20</v>
      </c>
      <c r="I4" s="11">
        <v>20</v>
      </c>
    </row>
    <row r="5" spans="1:10" ht="14.5" x14ac:dyDescent="0.35">
      <c r="B5" s="11"/>
      <c r="F5" s="7" t="s">
        <v>57</v>
      </c>
      <c r="G5" s="27">
        <f>FV(G3,G4,,-G2)</f>
        <v>1485947.3959783542</v>
      </c>
      <c r="H5" s="27">
        <f t="shared" ref="H5:I5" si="0">FV(H3,H4,,-H2)</f>
        <v>45259255.568175927</v>
      </c>
      <c r="I5" s="27">
        <f t="shared" si="0"/>
        <v>53357640.115256414</v>
      </c>
    </row>
    <row r="6" spans="1:10" ht="14.5" x14ac:dyDescent="0.35">
      <c r="A6" t="s">
        <v>50</v>
      </c>
      <c r="B6" s="4">
        <f>B2*(1+B3)^B4</f>
        <v>1485947.3959783542</v>
      </c>
      <c r="C6" s="1" t="s">
        <v>52</v>
      </c>
    </row>
    <row r="7" spans="1:10" x14ac:dyDescent="0.3">
      <c r="B7" s="11"/>
      <c r="E7" t="s">
        <v>115</v>
      </c>
      <c r="F7" t="s">
        <v>58</v>
      </c>
      <c r="G7" s="11">
        <f>G5/G2</f>
        <v>1.4859473959783542</v>
      </c>
      <c r="H7" s="11">
        <f>H5/H2</f>
        <v>45.259255568175924</v>
      </c>
      <c r="I7" s="11">
        <f>I5/I2</f>
        <v>53.357640115256416</v>
      </c>
    </row>
    <row r="8" spans="1:10" ht="14.5" x14ac:dyDescent="0.35">
      <c r="A8" t="s">
        <v>50</v>
      </c>
      <c r="B8" s="11">
        <f>FV(B3,B4,,-B2)</f>
        <v>1485947.3959783542</v>
      </c>
      <c r="C8" s="1" t="s">
        <v>53</v>
      </c>
    </row>
    <row r="9" spans="1:10" ht="15.5" x14ac:dyDescent="0.35">
      <c r="A9" s="28" t="s">
        <v>120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t="s">
        <v>50</v>
      </c>
      <c r="B10">
        <v>1000000</v>
      </c>
    </row>
    <row r="11" spans="1:10" x14ac:dyDescent="0.3">
      <c r="A11" t="s">
        <v>117</v>
      </c>
      <c r="B11" s="13">
        <v>0.05</v>
      </c>
    </row>
    <row r="12" spans="1:10" x14ac:dyDescent="0.3">
      <c r="A12" t="s">
        <v>118</v>
      </c>
      <c r="B12">
        <v>5</v>
      </c>
    </row>
    <row r="14" spans="1:10" x14ac:dyDescent="0.3">
      <c r="A14" t="s">
        <v>48</v>
      </c>
      <c r="B14">
        <f>B10/(1+B11)^B12</f>
        <v>783526.16646845895</v>
      </c>
      <c r="C14" t="s">
        <v>119</v>
      </c>
    </row>
    <row r="16" spans="1:10" ht="14.5" x14ac:dyDescent="0.35">
      <c r="A16" t="s">
        <v>48</v>
      </c>
      <c r="B16">
        <f>PV(B11,B12,,B10)</f>
        <v>-783526.16646845895</v>
      </c>
      <c r="C16" s="1" t="s">
        <v>53</v>
      </c>
    </row>
    <row r="17" spans="1:10" ht="15.5" x14ac:dyDescent="0.35">
      <c r="A17" s="28" t="s">
        <v>121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29" t="s">
        <v>124</v>
      </c>
      <c r="B18" s="14">
        <v>0.08</v>
      </c>
    </row>
    <row r="19" spans="1:10" x14ac:dyDescent="0.3">
      <c r="B19">
        <v>0</v>
      </c>
      <c r="C19">
        <v>1</v>
      </c>
      <c r="D19">
        <v>2</v>
      </c>
      <c r="E19">
        <v>3</v>
      </c>
      <c r="F19" t="s">
        <v>122</v>
      </c>
    </row>
    <row r="20" spans="1:10" x14ac:dyDescent="0.3">
      <c r="B20">
        <v>-500000</v>
      </c>
      <c r="C20">
        <v>300000</v>
      </c>
      <c r="D20" s="3">
        <v>350000</v>
      </c>
      <c r="E20" s="3">
        <v>450000</v>
      </c>
      <c r="F20" t="s">
        <v>123</v>
      </c>
    </row>
    <row r="22" spans="1:10" ht="14.5" x14ac:dyDescent="0.35">
      <c r="A22" t="s">
        <v>125</v>
      </c>
      <c r="B22">
        <f>B20</f>
        <v>-500000</v>
      </c>
      <c r="C22">
        <f>PV($B$18,C19,,-C20)</f>
        <v>277777.77777777775</v>
      </c>
      <c r="D22">
        <f t="shared" ref="D22:E22" si="1">PV($B$18,D19,,-D20)</f>
        <v>300068.58710562414</v>
      </c>
      <c r="E22">
        <f t="shared" si="1"/>
        <v>357224.50845907629</v>
      </c>
      <c r="F22" s="8">
        <f>SUM(B22:E22)</f>
        <v>435070.87334247818</v>
      </c>
    </row>
    <row r="23" spans="1:10" x14ac:dyDescent="0.3">
      <c r="B23" t="s">
        <v>127</v>
      </c>
      <c r="C23" t="s">
        <v>126</v>
      </c>
      <c r="D23" t="s">
        <v>126</v>
      </c>
      <c r="E23" t="s">
        <v>126</v>
      </c>
      <c r="F23" t="s">
        <v>128</v>
      </c>
    </row>
    <row r="26" spans="1:10" x14ac:dyDescent="0.3">
      <c r="A26" t="s">
        <v>129</v>
      </c>
      <c r="B26" s="13">
        <v>0.1</v>
      </c>
    </row>
    <row r="28" spans="1:10" x14ac:dyDescent="0.3">
      <c r="C28">
        <v>0</v>
      </c>
      <c r="D28">
        <v>1</v>
      </c>
      <c r="E28">
        <v>2</v>
      </c>
      <c r="F28">
        <v>3</v>
      </c>
      <c r="G28">
        <v>4</v>
      </c>
    </row>
    <row r="29" spans="1:10" x14ac:dyDescent="0.3">
      <c r="A29" t="s">
        <v>130</v>
      </c>
      <c r="C29">
        <v>-800000</v>
      </c>
      <c r="D29">
        <v>300000</v>
      </c>
      <c r="E29">
        <v>250000</v>
      </c>
      <c r="F29">
        <v>350000</v>
      </c>
      <c r="G29">
        <v>400000</v>
      </c>
    </row>
    <row r="30" spans="1:10" x14ac:dyDescent="0.3">
      <c r="A30" t="s">
        <v>125</v>
      </c>
      <c r="B30">
        <f>SUM(C30:G30)</f>
        <v>215504.40543678694</v>
      </c>
      <c r="C30">
        <f>C29</f>
        <v>-800000</v>
      </c>
      <c r="D30">
        <f>PV($B$26,D28,,-D29)</f>
        <v>272727.27272727271</v>
      </c>
      <c r="E30">
        <f t="shared" ref="E30:G30" si="2">PV($B$26,E28,,-E29)</f>
        <v>206611.57024793385</v>
      </c>
      <c r="F30">
        <f t="shared" si="2"/>
        <v>262960.18031555216</v>
      </c>
      <c r="G30">
        <f t="shared" si="2"/>
        <v>273205.38214602822</v>
      </c>
    </row>
    <row r="32" spans="1:10" x14ac:dyDescent="0.3">
      <c r="A32" t="s">
        <v>31</v>
      </c>
      <c r="B32">
        <f>SUM(D30:G30)</f>
        <v>1015504.4054367869</v>
      </c>
    </row>
    <row r="33" spans="1:3" x14ac:dyDescent="0.3">
      <c r="A33" t="s">
        <v>131</v>
      </c>
      <c r="B33">
        <f>C30</f>
        <v>-800000</v>
      </c>
    </row>
    <row r="34" spans="1:3" ht="14.5" x14ac:dyDescent="0.35">
      <c r="A34" s="10" t="s">
        <v>121</v>
      </c>
      <c r="B34" s="10">
        <f>SUM(B32:B33)</f>
        <v>215504.40543678694</v>
      </c>
    </row>
    <row r="36" spans="1:3" x14ac:dyDescent="0.3">
      <c r="A36" t="s">
        <v>121</v>
      </c>
      <c r="B36">
        <f>NPV(10%,D29:G29)+C30</f>
        <v>215504.40543678682</v>
      </c>
      <c r="C36" t="s">
        <v>134</v>
      </c>
    </row>
    <row r="38" spans="1:3" x14ac:dyDescent="0.3">
      <c r="A38" t="s">
        <v>132</v>
      </c>
      <c r="B38" s="18">
        <f>IRR(C29:G29)</f>
        <v>0.21179720512922473</v>
      </c>
      <c r="C38" t="s">
        <v>133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9"/>
  <sheetViews>
    <sheetView zoomScale="120" zoomScaleNormal="120" workbookViewId="0"/>
  </sheetViews>
  <sheetFormatPr defaultRowHeight="13" x14ac:dyDescent="0.3"/>
  <cols>
    <col min="1" max="1" width="1.69921875" customWidth="1"/>
    <col min="2" max="2" width="35.59765625" customWidth="1"/>
    <col min="3" max="6" width="12.69921875" customWidth="1"/>
    <col min="7" max="7" width="1.69921875" customWidth="1"/>
    <col min="8" max="8" width="16.69921875" customWidth="1"/>
  </cols>
  <sheetData>
    <row r="1" spans="1:12" ht="14.5" x14ac:dyDescent="0.35">
      <c r="B1" s="15" t="s">
        <v>0</v>
      </c>
      <c r="C1" s="16">
        <v>2015</v>
      </c>
      <c r="D1" s="16">
        <v>2016</v>
      </c>
      <c r="E1" s="16">
        <v>2017</v>
      </c>
      <c r="F1" s="8"/>
      <c r="H1" s="16" t="s">
        <v>106</v>
      </c>
      <c r="I1" s="16">
        <v>2015</v>
      </c>
      <c r="J1" s="16">
        <v>2016</v>
      </c>
      <c r="K1" s="16">
        <v>2017</v>
      </c>
    </row>
    <row r="2" spans="1:12" x14ac:dyDescent="0.3">
      <c r="B2" t="s">
        <v>5</v>
      </c>
      <c r="C2" s="11">
        <v>19162.7</v>
      </c>
      <c r="D2" s="11">
        <v>21315.9</v>
      </c>
      <c r="E2" s="11">
        <v>22386.799999999999</v>
      </c>
      <c r="F2" s="18"/>
      <c r="H2" t="s">
        <v>103</v>
      </c>
      <c r="I2">
        <v>3749.1</v>
      </c>
      <c r="J2">
        <v>4575.1000000000004</v>
      </c>
      <c r="K2">
        <v>4174.3</v>
      </c>
    </row>
    <row r="3" spans="1:12" ht="14.5" x14ac:dyDescent="0.35">
      <c r="B3" t="s">
        <v>18</v>
      </c>
      <c r="C3" s="11">
        <v>-7787.5</v>
      </c>
      <c r="D3" s="11">
        <v>-8511.1</v>
      </c>
      <c r="E3" s="11">
        <v>-9038.2000000000007</v>
      </c>
      <c r="H3" t="s">
        <v>104</v>
      </c>
      <c r="I3">
        <v>-1520.3</v>
      </c>
      <c r="J3">
        <v>-2222.9</v>
      </c>
      <c r="K3" s="21">
        <v>-850</v>
      </c>
    </row>
    <row r="4" spans="1:12" ht="14.5" x14ac:dyDescent="0.35">
      <c r="A4" s="7" t="s">
        <v>31</v>
      </c>
      <c r="B4" s="7"/>
      <c r="C4" s="12">
        <f>SUM(C2:C3)</f>
        <v>11375.2</v>
      </c>
      <c r="D4" s="12">
        <f>SUM(D2:D3)</f>
        <v>12804.800000000001</v>
      </c>
      <c r="E4" s="12">
        <f>SUM(E2:E3)</f>
        <v>13348.599999999999</v>
      </c>
      <c r="F4" s="18"/>
      <c r="H4" t="s">
        <v>105</v>
      </c>
      <c r="I4">
        <v>-2256.5</v>
      </c>
      <c r="J4">
        <v>-1750</v>
      </c>
      <c r="K4">
        <v>-3001.6</v>
      </c>
    </row>
    <row r="5" spans="1:12" x14ac:dyDescent="0.3">
      <c r="B5" t="s">
        <v>19</v>
      </c>
      <c r="C5" s="11">
        <f>-5411.1-522.4-1196.7</f>
        <v>-7130.2</v>
      </c>
      <c r="D5" s="11">
        <f>-6064.3-545.4-1360.6</f>
        <v>-7970.2999999999993</v>
      </c>
      <c r="E5" s="11">
        <f>-6493.3-553.8-1393.3</f>
        <v>-8440.4</v>
      </c>
    </row>
    <row r="6" spans="1:12" ht="14.5" x14ac:dyDescent="0.35">
      <c r="A6" s="7" t="s">
        <v>114</v>
      </c>
      <c r="B6" s="7"/>
      <c r="C6" s="12">
        <f>SUM(C4:C5)</f>
        <v>4245.0000000000009</v>
      </c>
      <c r="D6" s="12">
        <f>SUM(D4:D5)</f>
        <v>4834.5000000000018</v>
      </c>
      <c r="E6" s="12">
        <f>SUM(E4:E5)</f>
        <v>4908.1999999999989</v>
      </c>
      <c r="F6" s="18"/>
      <c r="H6" s="16" t="s">
        <v>108</v>
      </c>
      <c r="I6" s="16">
        <v>2015</v>
      </c>
      <c r="J6" s="16">
        <v>2016</v>
      </c>
      <c r="K6" s="16">
        <v>2017</v>
      </c>
    </row>
    <row r="7" spans="1:12" x14ac:dyDescent="0.3">
      <c r="B7" t="s">
        <v>20</v>
      </c>
      <c r="C7" s="11">
        <v>-893.9</v>
      </c>
      <c r="D7" s="11">
        <v>-980.8</v>
      </c>
      <c r="E7" s="11">
        <v>-1011.4</v>
      </c>
      <c r="H7" t="s">
        <v>109</v>
      </c>
      <c r="I7" s="23"/>
      <c r="J7" s="14">
        <f>D2/C2-1</f>
        <v>0.11236412405349983</v>
      </c>
      <c r="K7" s="14">
        <f>E2/D2-1</f>
        <v>5.0239492585346879E-2</v>
      </c>
      <c r="L7" t="s">
        <v>113</v>
      </c>
    </row>
    <row r="8" spans="1:12" ht="14.5" x14ac:dyDescent="0.35">
      <c r="A8" s="7" t="s">
        <v>33</v>
      </c>
      <c r="B8" s="7"/>
      <c r="C8" s="12">
        <f>SUM(C6:C7)</f>
        <v>3351.1000000000008</v>
      </c>
      <c r="D8" s="12">
        <f>SUM(D6:D7)</f>
        <v>3853.7000000000016</v>
      </c>
      <c r="E8" s="12">
        <f>SUM(E6:E7)</f>
        <v>3896.7999999999988</v>
      </c>
      <c r="F8" s="18"/>
      <c r="H8" t="s">
        <v>110</v>
      </c>
      <c r="I8" s="23"/>
      <c r="J8" s="14">
        <f>D6/C6-1</f>
        <v>0.13886925795053018</v>
      </c>
      <c r="K8" s="14">
        <f>E6/D6-1</f>
        <v>1.5244596131967603E-2</v>
      </c>
      <c r="L8" t="s">
        <v>113</v>
      </c>
    </row>
    <row r="9" spans="1:12" ht="14.5" x14ac:dyDescent="0.35">
      <c r="B9" s="20" t="s">
        <v>107</v>
      </c>
      <c r="C9" s="11">
        <f>-61.1+390.6</f>
        <v>329.5</v>
      </c>
      <c r="D9" s="11">
        <v>0</v>
      </c>
      <c r="E9" s="11">
        <v>-153.5</v>
      </c>
      <c r="H9" t="s">
        <v>111</v>
      </c>
      <c r="I9" s="23"/>
      <c r="J9" s="14">
        <f>D13/C13-1</f>
        <v>2.1599681078534605E-2</v>
      </c>
      <c r="K9" s="14">
        <f>E13/D13-1</f>
        <v>2.3413388201070529E-2</v>
      </c>
    </row>
    <row r="10" spans="1:12" x14ac:dyDescent="0.3">
      <c r="B10" t="s">
        <v>61</v>
      </c>
      <c r="C10" s="11">
        <f>249.9+43</f>
        <v>292.89999999999998</v>
      </c>
      <c r="D10" s="11">
        <f>318.2+108</f>
        <v>426.2</v>
      </c>
      <c r="E10" s="11">
        <f>275.3+391.4</f>
        <v>666.7</v>
      </c>
      <c r="H10" s="24" t="s">
        <v>112</v>
      </c>
      <c r="I10" s="25"/>
      <c r="J10" s="26">
        <f>J2/I2-1</f>
        <v>0.2203195433570726</v>
      </c>
      <c r="K10" s="26">
        <f>K2/J2-1</f>
        <v>-8.7604642521474929E-2</v>
      </c>
    </row>
    <row r="11" spans="1:12" x14ac:dyDescent="0.3">
      <c r="B11" t="s">
        <v>62</v>
      </c>
      <c r="C11" s="11">
        <v>-70.5</v>
      </c>
      <c r="D11" s="11">
        <v>-81.3</v>
      </c>
      <c r="E11" s="11">
        <v>-92.5</v>
      </c>
    </row>
    <row r="12" spans="1:12" x14ac:dyDescent="0.3">
      <c r="B12" t="s">
        <v>63</v>
      </c>
      <c r="C12" s="11">
        <v>-1143.7</v>
      </c>
      <c r="D12" s="11">
        <v>-1379.7</v>
      </c>
      <c r="E12" s="11">
        <f>-1432.6</f>
        <v>-1432.6</v>
      </c>
    </row>
    <row r="13" spans="1:12" ht="14.5" x14ac:dyDescent="0.35">
      <c r="A13" s="7" t="s">
        <v>23</v>
      </c>
      <c r="B13" s="7"/>
      <c r="C13" s="12">
        <f>SUM(C8:C12)</f>
        <v>2759.3000000000011</v>
      </c>
      <c r="D13" s="12">
        <f>SUM(D8:D12)</f>
        <v>2818.9000000000015</v>
      </c>
      <c r="E13" s="12">
        <f>SUM(E8:E12)</f>
        <v>2884.8999999999992</v>
      </c>
      <c r="F13" s="18"/>
    </row>
    <row r="15" spans="1:12" ht="14.5" x14ac:dyDescent="0.35">
      <c r="B15" s="15" t="s">
        <v>1</v>
      </c>
      <c r="C15" s="15"/>
      <c r="D15" s="16">
        <v>2016</v>
      </c>
      <c r="E15" s="16">
        <v>2017</v>
      </c>
      <c r="F15" s="17" t="s">
        <v>64</v>
      </c>
    </row>
    <row r="16" spans="1:12" x14ac:dyDescent="0.3">
      <c r="B16" t="s">
        <v>65</v>
      </c>
      <c r="D16" s="11">
        <v>2128.8000000000002</v>
      </c>
      <c r="E16" s="11">
        <v>2462.3000000000002</v>
      </c>
      <c r="F16" s="18">
        <f>E16/D16-1</f>
        <v>0.15666102968808726</v>
      </c>
    </row>
    <row r="17" spans="1:6" x14ac:dyDescent="0.3">
      <c r="B17" t="s">
        <v>66</v>
      </c>
      <c r="D17" s="11">
        <v>134.4</v>
      </c>
      <c r="E17" s="11">
        <v>228.6</v>
      </c>
    </row>
    <row r="18" spans="1:6" ht="14.5" x14ac:dyDescent="0.35">
      <c r="B18" t="s">
        <v>67</v>
      </c>
      <c r="D18" s="11">
        <v>768.8</v>
      </c>
      <c r="E18" s="11">
        <v>870.4</v>
      </c>
      <c r="F18" s="20">
        <f>D18-E18</f>
        <v>-101.60000000000002</v>
      </c>
    </row>
    <row r="19" spans="1:6" x14ac:dyDescent="0.3">
      <c r="B19" t="s">
        <v>36</v>
      </c>
      <c r="D19" s="11">
        <v>1378.5</v>
      </c>
      <c r="E19" s="11">
        <v>1364</v>
      </c>
      <c r="F19">
        <f>D19-E19</f>
        <v>14.5</v>
      </c>
    </row>
    <row r="20" spans="1:6" x14ac:dyDescent="0.3">
      <c r="B20" t="s">
        <v>68</v>
      </c>
      <c r="D20" s="11">
        <v>347.4</v>
      </c>
      <c r="E20" s="11">
        <v>358.1</v>
      </c>
    </row>
    <row r="21" spans="1:6" ht="14.5" x14ac:dyDescent="0.35">
      <c r="A21" s="7" t="s">
        <v>41</v>
      </c>
      <c r="B21" s="7"/>
      <c r="C21" s="7"/>
      <c r="D21" s="12">
        <f>SUM(D16:D20)</f>
        <v>4757.8999999999996</v>
      </c>
      <c r="E21" s="12">
        <f>SUM(E16:E20)</f>
        <v>5283.4000000000005</v>
      </c>
      <c r="F21" s="18">
        <f>E21/D21-1</f>
        <v>0.1104478866726919</v>
      </c>
    </row>
    <row r="22" spans="1:6" x14ac:dyDescent="0.3">
      <c r="B22" t="s">
        <v>9</v>
      </c>
      <c r="D22" s="11">
        <v>4533.8</v>
      </c>
      <c r="E22" s="11">
        <v>4919.5</v>
      </c>
      <c r="F22" s="18">
        <f>E22/D22-1</f>
        <v>8.5072124928316173E-2</v>
      </c>
    </row>
    <row r="23" spans="1:6" x14ac:dyDescent="0.3">
      <c r="B23" t="s">
        <v>69</v>
      </c>
      <c r="D23" s="11">
        <f>516.3+1719.6</f>
        <v>2235.8999999999996</v>
      </c>
      <c r="E23" s="11">
        <f>441.4+1539.2</f>
        <v>1980.6</v>
      </c>
    </row>
    <row r="24" spans="1:6" x14ac:dyDescent="0.3">
      <c r="B24" t="s">
        <v>70</v>
      </c>
      <c r="D24" s="11">
        <f>1141.7+354.5+885.4+403.3</f>
        <v>2784.9</v>
      </c>
      <c r="E24" s="11">
        <f>542.3+481.6+795.4+362.8</f>
        <v>2182.1</v>
      </c>
    </row>
    <row r="25" spans="1:6" ht="14.5" x14ac:dyDescent="0.35">
      <c r="A25" s="7" t="s">
        <v>71</v>
      </c>
      <c r="B25" s="7"/>
      <c r="C25" s="7"/>
      <c r="D25" s="12">
        <f>SUM(D22:D24)</f>
        <v>9554.6</v>
      </c>
      <c r="E25" s="12">
        <f>SUM(E22:E24)</f>
        <v>9082.2000000000007</v>
      </c>
      <c r="F25" s="18">
        <f>E25/D25-1</f>
        <v>-4.9442153517677334E-2</v>
      </c>
    </row>
    <row r="26" spans="1:6" x14ac:dyDescent="0.3">
      <c r="D26" s="11"/>
      <c r="E26" s="11"/>
    </row>
    <row r="27" spans="1:6" ht="14.5" x14ac:dyDescent="0.35">
      <c r="A27" s="19" t="s">
        <v>10</v>
      </c>
      <c r="B27" s="19"/>
      <c r="C27" s="19"/>
      <c r="D27" s="22">
        <f>D25+D21</f>
        <v>14312.5</v>
      </c>
      <c r="E27" s="22">
        <f>E25+E21</f>
        <v>14365.600000000002</v>
      </c>
      <c r="F27" s="18">
        <f>E27/D27-1</f>
        <v>3.7100436681223314E-3</v>
      </c>
    </row>
    <row r="28" spans="1:6" x14ac:dyDescent="0.3">
      <c r="B28" t="s">
        <v>72</v>
      </c>
      <c r="D28" s="11">
        <v>730.6</v>
      </c>
      <c r="E28" s="11">
        <v>782.5</v>
      </c>
      <c r="F28">
        <f>E28-D28</f>
        <v>51.899999999999977</v>
      </c>
    </row>
    <row r="29" spans="1:6" x14ac:dyDescent="0.3">
      <c r="B29" t="s">
        <v>73</v>
      </c>
      <c r="D29" s="11">
        <v>399.9</v>
      </c>
      <c r="E29" s="11">
        <v>0</v>
      </c>
    </row>
    <row r="30" spans="1:6" x14ac:dyDescent="0.3">
      <c r="B30" t="s">
        <v>74</v>
      </c>
      <c r="D30" s="11">
        <v>3416.3</v>
      </c>
      <c r="E30" s="11">
        <f>1934.5+215.2+1288.5</f>
        <v>3438.2</v>
      </c>
    </row>
    <row r="31" spans="1:6" ht="14.5" x14ac:dyDescent="0.35">
      <c r="A31" s="7" t="s">
        <v>43</v>
      </c>
      <c r="B31" s="7"/>
      <c r="C31" s="7"/>
      <c r="D31" s="12">
        <f>SUM(D28:D30)</f>
        <v>4546.8</v>
      </c>
      <c r="E31" s="12">
        <f>SUM(E28:E30)</f>
        <v>4220.7</v>
      </c>
      <c r="F31" s="18">
        <f>E31/D31-1</f>
        <v>-7.1720770651887089E-2</v>
      </c>
    </row>
    <row r="32" spans="1:6" x14ac:dyDescent="0.3">
      <c r="B32" t="s">
        <v>75</v>
      </c>
      <c r="D32" s="11">
        <v>3185.3</v>
      </c>
      <c r="E32" s="11">
        <v>3932.6</v>
      </c>
    </row>
    <row r="33" spans="1:6" x14ac:dyDescent="0.3">
      <c r="B33" t="s">
        <v>76</v>
      </c>
      <c r="D33" s="11">
        <v>689.7</v>
      </c>
      <c r="E33" s="11">
        <v>755.3</v>
      </c>
    </row>
    <row r="34" spans="1:6" ht="14.5" x14ac:dyDescent="0.35">
      <c r="A34" s="7" t="s">
        <v>77</v>
      </c>
      <c r="B34" s="7"/>
      <c r="C34" s="7"/>
      <c r="D34" s="12">
        <f>SUM(D32:D33)</f>
        <v>3875</v>
      </c>
      <c r="E34" s="12">
        <f>SUM(E32:E33)</f>
        <v>4687.8999999999996</v>
      </c>
      <c r="F34" s="18">
        <f>E34/D34-1</f>
        <v>0.20978064516129025</v>
      </c>
    </row>
    <row r="35" spans="1:6" x14ac:dyDescent="0.3">
      <c r="B35" t="s">
        <v>78</v>
      </c>
      <c r="D35" s="11">
        <v>-59.100000000000364</v>
      </c>
      <c r="E35" s="11">
        <v>-106.19999999999982</v>
      </c>
    </row>
    <row r="36" spans="1:6" x14ac:dyDescent="0.3">
      <c r="B36" t="s">
        <v>15</v>
      </c>
      <c r="D36" s="11">
        <v>5949.8</v>
      </c>
      <c r="E36" s="11">
        <v>5563.2</v>
      </c>
    </row>
    <row r="37" spans="1:6" ht="14.5" x14ac:dyDescent="0.35">
      <c r="A37" s="7" t="s">
        <v>79</v>
      </c>
      <c r="B37" s="7"/>
      <c r="C37" s="7"/>
      <c r="D37" s="12">
        <f>SUM(D35:D36)</f>
        <v>5890.7</v>
      </c>
      <c r="E37" s="12">
        <f>SUM(E35:E36)</f>
        <v>5457</v>
      </c>
      <c r="F37" s="18">
        <f>E37/D37-1</f>
        <v>-7.3624526796475798E-2</v>
      </c>
    </row>
    <row r="38" spans="1:6" x14ac:dyDescent="0.3">
      <c r="D38" s="11"/>
      <c r="E38" s="11"/>
    </row>
    <row r="39" spans="1:6" ht="14.5" x14ac:dyDescent="0.35">
      <c r="A39" s="19" t="s">
        <v>80</v>
      </c>
      <c r="B39" s="19"/>
      <c r="C39" s="19"/>
      <c r="D39" s="22">
        <f>D37+D34+D31</f>
        <v>14312.5</v>
      </c>
      <c r="E39" s="22">
        <f>E37+E34+E31</f>
        <v>14365.599999999999</v>
      </c>
      <c r="F39" s="18">
        <f>E39/D39-1</f>
        <v>3.7100436681221094E-3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38"/>
  <sheetViews>
    <sheetView zoomScale="120" zoomScaleNormal="12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3"/>
  <cols>
    <col min="1" max="2" width="1.69921875" customWidth="1"/>
    <col min="3" max="3" width="25.296875" customWidth="1"/>
    <col min="4" max="4" width="1.69921875" customWidth="1"/>
    <col min="8" max="9" width="1.69921875" customWidth="1"/>
  </cols>
  <sheetData>
    <row r="2" spans="1:12" ht="14.5" x14ac:dyDescent="0.35">
      <c r="A2" s="5" t="s">
        <v>81</v>
      </c>
      <c r="E2" s="2" t="s">
        <v>159</v>
      </c>
      <c r="F2" s="2" t="s">
        <v>160</v>
      </c>
      <c r="G2" s="2" t="s">
        <v>161</v>
      </c>
      <c r="H2" s="11"/>
      <c r="I2" s="11"/>
    </row>
    <row r="3" spans="1:12" ht="14.5" x14ac:dyDescent="0.35">
      <c r="B3" s="8" t="s">
        <v>85</v>
      </c>
    </row>
    <row r="4" spans="1:12" x14ac:dyDescent="0.3">
      <c r="C4" t="s">
        <v>135</v>
      </c>
      <c r="E4">
        <v>117</v>
      </c>
      <c r="F4">
        <v>19</v>
      </c>
      <c r="G4">
        <v>-28</v>
      </c>
    </row>
    <row r="5" spans="1:12" x14ac:dyDescent="0.3">
      <c r="C5" t="s">
        <v>154</v>
      </c>
      <c r="E5">
        <v>24</v>
      </c>
      <c r="F5">
        <v>25</v>
      </c>
      <c r="G5">
        <v>19</v>
      </c>
    </row>
    <row r="6" spans="1:12" x14ac:dyDescent="0.3">
      <c r="C6" t="s">
        <v>155</v>
      </c>
      <c r="E6">
        <v>6</v>
      </c>
      <c r="F6">
        <v>19</v>
      </c>
      <c r="G6">
        <v>17</v>
      </c>
    </row>
    <row r="7" spans="1:12" x14ac:dyDescent="0.3">
      <c r="C7" t="s">
        <v>156</v>
      </c>
      <c r="E7">
        <f>45-70</f>
        <v>-25</v>
      </c>
      <c r="F7">
        <v>-4</v>
      </c>
      <c r="G7">
        <v>15</v>
      </c>
    </row>
    <row r="8" spans="1:12" x14ac:dyDescent="0.3">
      <c r="C8" t="s">
        <v>157</v>
      </c>
      <c r="E8">
        <f>75-135</f>
        <v>-60</v>
      </c>
      <c r="F8">
        <v>-5</v>
      </c>
      <c r="G8">
        <v>5</v>
      </c>
    </row>
    <row r="9" spans="1:12" x14ac:dyDescent="0.3">
      <c r="C9" t="s">
        <v>158</v>
      </c>
      <c r="E9">
        <f>100-35</f>
        <v>65</v>
      </c>
      <c r="F9">
        <v>5</v>
      </c>
      <c r="G9">
        <v>-3</v>
      </c>
    </row>
    <row r="10" spans="1:12" x14ac:dyDescent="0.3">
      <c r="C10" t="s">
        <v>162</v>
      </c>
      <c r="E10">
        <v>3</v>
      </c>
      <c r="F10">
        <v>6</v>
      </c>
      <c r="G10">
        <v>-5</v>
      </c>
    </row>
    <row r="11" spans="1:12" ht="14.5" x14ac:dyDescent="0.35">
      <c r="C11" s="7" t="s">
        <v>85</v>
      </c>
      <c r="D11" s="7"/>
      <c r="E11" s="7">
        <f>SUM(E4:E10)</f>
        <v>130</v>
      </c>
      <c r="F11" s="7">
        <f>SUM(F4:F10)</f>
        <v>65</v>
      </c>
      <c r="G11" s="7">
        <f>SUM(G4:G10)</f>
        <v>20</v>
      </c>
      <c r="H11" s="8"/>
      <c r="I11" s="8"/>
    </row>
    <row r="13" spans="1:12" ht="14.5" x14ac:dyDescent="0.35">
      <c r="B13" s="8" t="s">
        <v>90</v>
      </c>
      <c r="J13" t="s">
        <v>26</v>
      </c>
      <c r="K13">
        <v>140</v>
      </c>
      <c r="L13" t="s">
        <v>169</v>
      </c>
    </row>
    <row r="14" spans="1:12" x14ac:dyDescent="0.3">
      <c r="C14" t="s">
        <v>166</v>
      </c>
      <c r="E14">
        <v>-180</v>
      </c>
      <c r="F14">
        <v>-30</v>
      </c>
      <c r="G14">
        <v>48</v>
      </c>
      <c r="J14" t="s">
        <v>2</v>
      </c>
      <c r="K14" s="9"/>
      <c r="L14" t="s">
        <v>168</v>
      </c>
    </row>
    <row r="15" spans="1:12" x14ac:dyDescent="0.3">
      <c r="C15" t="s">
        <v>167</v>
      </c>
      <c r="E15">
        <v>0</v>
      </c>
      <c r="F15">
        <v>0</v>
      </c>
      <c r="G15">
        <v>0</v>
      </c>
      <c r="J15" t="s">
        <v>27</v>
      </c>
      <c r="K15">
        <v>-24</v>
      </c>
      <c r="L15" t="s">
        <v>39</v>
      </c>
    </row>
    <row r="16" spans="1:12" ht="14.5" x14ac:dyDescent="0.35">
      <c r="C16" s="7" t="s">
        <v>90</v>
      </c>
      <c r="D16" s="7"/>
      <c r="E16" s="7">
        <f>SUM(E14:E15)</f>
        <v>-180</v>
      </c>
      <c r="F16" s="7">
        <f t="shared" ref="F16:G16" si="0">SUM(F14:F15)</f>
        <v>-30</v>
      </c>
      <c r="G16" s="7">
        <f t="shared" si="0"/>
        <v>48</v>
      </c>
      <c r="J16" s="7" t="s">
        <v>3</v>
      </c>
      <c r="K16" s="7">
        <f>SUM(K13:K15)</f>
        <v>116</v>
      </c>
      <c r="L16" s="7" t="s">
        <v>170</v>
      </c>
    </row>
    <row r="18" spans="2:12" ht="14.5" x14ac:dyDescent="0.35">
      <c r="B18" s="5" t="s">
        <v>94</v>
      </c>
      <c r="J18" t="s">
        <v>11</v>
      </c>
      <c r="K18">
        <v>296</v>
      </c>
      <c r="L18" t="s">
        <v>171</v>
      </c>
    </row>
    <row r="19" spans="2:12" x14ac:dyDescent="0.3">
      <c r="C19" t="s">
        <v>97</v>
      </c>
      <c r="E19">
        <v>-6</v>
      </c>
      <c r="F19">
        <v>-19</v>
      </c>
      <c r="G19">
        <v>-17</v>
      </c>
    </row>
    <row r="20" spans="2:12" x14ac:dyDescent="0.3">
      <c r="C20" t="s">
        <v>98</v>
      </c>
      <c r="E20">
        <v>0</v>
      </c>
      <c r="F20">
        <v>-25</v>
      </c>
      <c r="G20">
        <v>-35</v>
      </c>
      <c r="J20" t="s">
        <v>172</v>
      </c>
      <c r="K20">
        <f>K18-K16</f>
        <v>180</v>
      </c>
    </row>
    <row r="21" spans="2:12" x14ac:dyDescent="0.3">
      <c r="C21" t="s">
        <v>174</v>
      </c>
      <c r="E21">
        <v>40</v>
      </c>
      <c r="F21">
        <v>0</v>
      </c>
      <c r="G21">
        <v>-15</v>
      </c>
    </row>
    <row r="22" spans="2:12" x14ac:dyDescent="0.3">
      <c r="C22" t="s">
        <v>175</v>
      </c>
      <c r="E22">
        <v>0</v>
      </c>
      <c r="F22">
        <v>0</v>
      </c>
      <c r="G22">
        <v>0</v>
      </c>
      <c r="J22" t="s">
        <v>26</v>
      </c>
      <c r="K22">
        <v>242</v>
      </c>
      <c r="L22" t="s">
        <v>169</v>
      </c>
    </row>
    <row r="23" spans="2:12" x14ac:dyDescent="0.3">
      <c r="C23" t="s">
        <v>176</v>
      </c>
      <c r="E23">
        <v>0</v>
      </c>
      <c r="F23">
        <v>0</v>
      </c>
      <c r="G23">
        <v>0</v>
      </c>
      <c r="J23" t="s">
        <v>2</v>
      </c>
      <c r="K23" s="9"/>
      <c r="L23" t="s">
        <v>168</v>
      </c>
    </row>
    <row r="24" spans="2:12" ht="14.5" x14ac:dyDescent="0.35">
      <c r="C24" s="7" t="s">
        <v>94</v>
      </c>
      <c r="D24" s="7"/>
      <c r="E24" s="7">
        <f>SUM(E19:E23)</f>
        <v>34</v>
      </c>
      <c r="F24" s="7">
        <f t="shared" ref="F24:G24" si="1">SUM(F19:F23)</f>
        <v>-44</v>
      </c>
      <c r="G24" s="7">
        <f t="shared" si="1"/>
        <v>-67</v>
      </c>
      <c r="J24" t="s">
        <v>27</v>
      </c>
      <c r="K24">
        <v>-25</v>
      </c>
      <c r="L24" t="s">
        <v>39</v>
      </c>
    </row>
    <row r="25" spans="2:12" ht="14.5" x14ac:dyDescent="0.35">
      <c r="J25" s="7" t="s">
        <v>3</v>
      </c>
      <c r="K25" s="7">
        <f>SUM(K22:K24)</f>
        <v>217</v>
      </c>
      <c r="L25" s="7" t="s">
        <v>170</v>
      </c>
    </row>
    <row r="26" spans="2:12" x14ac:dyDescent="0.3">
      <c r="C26" t="s">
        <v>177</v>
      </c>
      <c r="E26">
        <f>E11+E16+E24</f>
        <v>-16</v>
      </c>
      <c r="F26">
        <f>F11+F16+F24</f>
        <v>-9</v>
      </c>
      <c r="G26">
        <f>G11+G16+G24</f>
        <v>1</v>
      </c>
    </row>
    <row r="27" spans="2:12" x14ac:dyDescent="0.3">
      <c r="C27" t="s">
        <v>178</v>
      </c>
      <c r="E27">
        <v>28</v>
      </c>
      <c r="F27">
        <v>120</v>
      </c>
      <c r="G27">
        <v>75</v>
      </c>
      <c r="J27" t="s">
        <v>11</v>
      </c>
      <c r="K27">
        <v>247</v>
      </c>
      <c r="L27" t="s">
        <v>171</v>
      </c>
    </row>
    <row r="28" spans="2:12" ht="14.5" x14ac:dyDescent="0.35">
      <c r="C28" s="7" t="s">
        <v>38</v>
      </c>
      <c r="D28" s="7"/>
      <c r="E28" s="7">
        <f>SUM(E26:E27)</f>
        <v>12</v>
      </c>
      <c r="F28" s="7">
        <f t="shared" ref="F28:G28" si="2">SUM(F26:F27)</f>
        <v>111</v>
      </c>
      <c r="G28" s="7">
        <f t="shared" si="2"/>
        <v>76</v>
      </c>
    </row>
    <row r="29" spans="2:12" x14ac:dyDescent="0.3">
      <c r="J29" t="s">
        <v>172</v>
      </c>
      <c r="K29">
        <f>K27-K25</f>
        <v>30</v>
      </c>
      <c r="L29" t="s">
        <v>173</v>
      </c>
    </row>
    <row r="31" spans="2:12" x14ac:dyDescent="0.3">
      <c r="J31" t="s">
        <v>26</v>
      </c>
      <c r="K31">
        <v>250</v>
      </c>
      <c r="L31" t="s">
        <v>169</v>
      </c>
    </row>
    <row r="32" spans="2:12" x14ac:dyDescent="0.3">
      <c r="J32" t="s">
        <v>2</v>
      </c>
      <c r="K32" s="9"/>
      <c r="L32" t="s">
        <v>168</v>
      </c>
    </row>
    <row r="33" spans="10:12" x14ac:dyDescent="0.3">
      <c r="J33" t="s">
        <v>27</v>
      </c>
      <c r="K33">
        <v>-19</v>
      </c>
      <c r="L33" t="s">
        <v>39</v>
      </c>
    </row>
    <row r="34" spans="10:12" ht="14.5" x14ac:dyDescent="0.35">
      <c r="J34" s="7" t="s">
        <v>3</v>
      </c>
      <c r="K34" s="7">
        <f>SUM(K31:K33)</f>
        <v>231</v>
      </c>
      <c r="L34" s="7" t="s">
        <v>170</v>
      </c>
    </row>
    <row r="36" spans="10:12" x14ac:dyDescent="0.3">
      <c r="J36" t="s">
        <v>11</v>
      </c>
      <c r="K36">
        <v>183</v>
      </c>
      <c r="L36" t="s">
        <v>171</v>
      </c>
    </row>
    <row r="38" spans="10:12" x14ac:dyDescent="0.3">
      <c r="J38" t="s">
        <v>172</v>
      </c>
      <c r="K38">
        <f>K36-K34</f>
        <v>-48</v>
      </c>
      <c r="L38" t="s">
        <v>173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28"/>
  <sheetViews>
    <sheetView zoomScale="120" zoomScaleNormal="12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3"/>
  <cols>
    <col min="1" max="2" width="1.69921875" customWidth="1"/>
    <col min="3" max="3" width="25.296875" customWidth="1"/>
    <col min="4" max="4" width="1.69921875" customWidth="1"/>
    <col min="8" max="9" width="1.69921875" customWidth="1"/>
  </cols>
  <sheetData>
    <row r="2" spans="1:11" ht="14.5" x14ac:dyDescent="0.35">
      <c r="A2" s="5" t="s">
        <v>81</v>
      </c>
      <c r="E2" s="2" t="s">
        <v>163</v>
      </c>
      <c r="F2" s="2" t="s">
        <v>164</v>
      </c>
      <c r="G2" s="2" t="s">
        <v>165</v>
      </c>
      <c r="H2" s="11"/>
      <c r="I2" s="11"/>
    </row>
    <row r="3" spans="1:11" ht="14.5" x14ac:dyDescent="0.35">
      <c r="B3" s="8" t="s">
        <v>85</v>
      </c>
    </row>
    <row r="4" spans="1:11" x14ac:dyDescent="0.3">
      <c r="C4" t="s">
        <v>135</v>
      </c>
      <c r="E4">
        <v>45</v>
      </c>
      <c r="F4">
        <v>136</v>
      </c>
      <c r="G4">
        <v>-7</v>
      </c>
    </row>
    <row r="5" spans="1:11" x14ac:dyDescent="0.3">
      <c r="C5" t="s">
        <v>154</v>
      </c>
      <c r="E5">
        <v>20</v>
      </c>
      <c r="F5">
        <v>10</v>
      </c>
      <c r="G5">
        <v>17</v>
      </c>
    </row>
    <row r="6" spans="1:11" x14ac:dyDescent="0.3">
      <c r="C6" t="s">
        <v>155</v>
      </c>
      <c r="E6">
        <v>12</v>
      </c>
      <c r="F6">
        <v>1</v>
      </c>
      <c r="G6">
        <v>1</v>
      </c>
    </row>
    <row r="7" spans="1:11" x14ac:dyDescent="0.3">
      <c r="C7" t="s">
        <v>156</v>
      </c>
      <c r="E7">
        <v>-25</v>
      </c>
      <c r="F7">
        <v>3</v>
      </c>
      <c r="G7">
        <v>-2</v>
      </c>
    </row>
    <row r="8" spans="1:11" x14ac:dyDescent="0.3">
      <c r="C8" t="s">
        <v>157</v>
      </c>
      <c r="E8">
        <v>-60</v>
      </c>
      <c r="F8">
        <v>2</v>
      </c>
      <c r="G8">
        <v>5</v>
      </c>
    </row>
    <row r="9" spans="1:11" x14ac:dyDescent="0.3">
      <c r="C9" t="s">
        <v>158</v>
      </c>
      <c r="E9">
        <f>25</f>
        <v>25</v>
      </c>
      <c r="F9">
        <v>-2</v>
      </c>
      <c r="G9">
        <v>-4</v>
      </c>
    </row>
    <row r="10" spans="1:11" x14ac:dyDescent="0.3">
      <c r="C10" t="s">
        <v>162</v>
      </c>
      <c r="E10">
        <v>0</v>
      </c>
      <c r="F10">
        <v>-7</v>
      </c>
      <c r="G10">
        <v>-9</v>
      </c>
    </row>
    <row r="11" spans="1:11" ht="14.5" x14ac:dyDescent="0.35">
      <c r="C11" s="7" t="s">
        <v>85</v>
      </c>
      <c r="D11" s="7"/>
      <c r="E11" s="7">
        <f>SUM(E4:E10)</f>
        <v>17</v>
      </c>
      <c r="F11" s="7">
        <f>SUM(F4:F10)</f>
        <v>143</v>
      </c>
      <c r="G11" s="7">
        <f>SUM(G4:G10)</f>
        <v>1</v>
      </c>
      <c r="H11" s="8"/>
      <c r="I11" s="8"/>
    </row>
    <row r="13" spans="1:11" ht="14.5" x14ac:dyDescent="0.35">
      <c r="B13" s="8" t="s">
        <v>90</v>
      </c>
    </row>
    <row r="14" spans="1:11" x14ac:dyDescent="0.3">
      <c r="C14" t="s">
        <v>166</v>
      </c>
      <c r="E14">
        <v>-58</v>
      </c>
      <c r="F14">
        <v>-10</v>
      </c>
      <c r="G14">
        <v>20</v>
      </c>
      <c r="J14" t="s">
        <v>26</v>
      </c>
      <c r="K14">
        <v>122</v>
      </c>
    </row>
    <row r="15" spans="1:11" x14ac:dyDescent="0.3">
      <c r="C15" t="s">
        <v>167</v>
      </c>
      <c r="F15">
        <v>0</v>
      </c>
      <c r="G15">
        <v>0</v>
      </c>
      <c r="J15" t="s">
        <v>2</v>
      </c>
    </row>
    <row r="16" spans="1:11" ht="14.5" x14ac:dyDescent="0.35">
      <c r="C16" s="7" t="s">
        <v>90</v>
      </c>
      <c r="D16" s="7"/>
      <c r="E16" s="7">
        <f>SUM(E14:E15)</f>
        <v>-58</v>
      </c>
      <c r="F16" s="7">
        <f t="shared" ref="F16:G16" si="0">SUM(F14:F15)</f>
        <v>-10</v>
      </c>
      <c r="G16" s="7">
        <f t="shared" si="0"/>
        <v>20</v>
      </c>
      <c r="J16" t="s">
        <v>27</v>
      </c>
      <c r="K16">
        <v>-17</v>
      </c>
    </row>
    <row r="17" spans="2:11" x14ac:dyDescent="0.3">
      <c r="J17" t="s">
        <v>3</v>
      </c>
      <c r="K17">
        <f>SUM(K14:K16)</f>
        <v>105</v>
      </c>
    </row>
    <row r="18" spans="2:11" ht="14.5" x14ac:dyDescent="0.35">
      <c r="B18" s="5" t="s">
        <v>94</v>
      </c>
      <c r="J18" t="s">
        <v>179</v>
      </c>
      <c r="K18">
        <v>85</v>
      </c>
    </row>
    <row r="19" spans="2:11" x14ac:dyDescent="0.3">
      <c r="C19" t="s">
        <v>97</v>
      </c>
      <c r="E19">
        <v>-12</v>
      </c>
      <c r="F19">
        <v>-1</v>
      </c>
      <c r="G19">
        <v>-1</v>
      </c>
      <c r="K19">
        <f>K18-K17</f>
        <v>-20</v>
      </c>
    </row>
    <row r="20" spans="2:11" x14ac:dyDescent="0.3">
      <c r="C20" t="s">
        <v>98</v>
      </c>
      <c r="E20">
        <v>0</v>
      </c>
      <c r="F20">
        <v>-50</v>
      </c>
      <c r="G20">
        <v>-15</v>
      </c>
    </row>
    <row r="21" spans="2:11" x14ac:dyDescent="0.3">
      <c r="C21" t="s">
        <v>174</v>
      </c>
      <c r="E21">
        <v>80</v>
      </c>
      <c r="F21">
        <v>-2</v>
      </c>
      <c r="G21">
        <v>-5</v>
      </c>
    </row>
    <row r="22" spans="2:11" x14ac:dyDescent="0.3">
      <c r="C22" t="s">
        <v>175</v>
      </c>
      <c r="E22">
        <v>3</v>
      </c>
      <c r="F22">
        <v>0</v>
      </c>
      <c r="G22">
        <v>0</v>
      </c>
    </row>
    <row r="23" spans="2:11" x14ac:dyDescent="0.3">
      <c r="C23" t="s">
        <v>176</v>
      </c>
      <c r="E23">
        <v>30</v>
      </c>
      <c r="F23">
        <v>0</v>
      </c>
      <c r="G23">
        <v>0</v>
      </c>
    </row>
    <row r="24" spans="2:11" ht="14.5" x14ac:dyDescent="0.35">
      <c r="C24" s="7" t="s">
        <v>94</v>
      </c>
      <c r="D24" s="7"/>
      <c r="E24" s="7">
        <f>SUM(E19:E23)</f>
        <v>101</v>
      </c>
      <c r="F24" s="7">
        <f t="shared" ref="F24:G24" si="1">SUM(F19:F23)</f>
        <v>-53</v>
      </c>
      <c r="G24" s="7">
        <f t="shared" si="1"/>
        <v>-21</v>
      </c>
    </row>
    <row r="26" spans="2:11" x14ac:dyDescent="0.3">
      <c r="C26" t="s">
        <v>177</v>
      </c>
      <c r="E26">
        <f>E11+E16+E24</f>
        <v>60</v>
      </c>
      <c r="F26">
        <f>F11+F16+F24</f>
        <v>80</v>
      </c>
      <c r="G26">
        <f>G11+G16+G24</f>
        <v>0</v>
      </c>
    </row>
    <row r="27" spans="2:11" x14ac:dyDescent="0.3">
      <c r="C27" t="s">
        <v>178</v>
      </c>
      <c r="E27">
        <v>2</v>
      </c>
      <c r="F27">
        <v>120</v>
      </c>
      <c r="G27">
        <v>33</v>
      </c>
    </row>
    <row r="28" spans="2:11" ht="14.5" x14ac:dyDescent="0.35">
      <c r="C28" s="7" t="s">
        <v>38</v>
      </c>
      <c r="D28" s="7"/>
      <c r="E28" s="7">
        <f>SUM(E26:E27)</f>
        <v>62</v>
      </c>
      <c r="F28" s="7">
        <f t="shared" ref="F28:G28" si="2">SUM(F26:F27)</f>
        <v>200</v>
      </c>
      <c r="G28" s="7">
        <f t="shared" si="2"/>
        <v>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99"/>
  <sheetViews>
    <sheetView zoomScale="130" zoomScaleNormal="130" workbookViewId="0">
      <pane xSplit="3" ySplit="2" topLeftCell="D72" activePane="bottomRight" state="frozen"/>
      <selection pane="topRight"/>
      <selection pane="bottomLeft"/>
      <selection pane="bottomRight"/>
    </sheetView>
  </sheetViews>
  <sheetFormatPr defaultRowHeight="13" x14ac:dyDescent="0.3"/>
  <cols>
    <col min="1" max="2" width="1.69921875" customWidth="1"/>
    <col min="3" max="3" width="22.69921875" customWidth="1"/>
    <col min="4" max="5" width="15.69921875" customWidth="1"/>
    <col min="6" max="7" width="1.69921875" customWidth="1"/>
  </cols>
  <sheetData>
    <row r="1" spans="1:5" x14ac:dyDescent="0.3">
      <c r="E1" t="s">
        <v>251</v>
      </c>
    </row>
    <row r="2" spans="1:5" ht="14.5" x14ac:dyDescent="0.35">
      <c r="A2" s="5" t="s">
        <v>0</v>
      </c>
      <c r="D2" s="31">
        <v>2015</v>
      </c>
      <c r="E2" s="31">
        <v>2016</v>
      </c>
    </row>
    <row r="3" spans="1:5" x14ac:dyDescent="0.3">
      <c r="C3" t="s">
        <v>30</v>
      </c>
      <c r="D3">
        <v>50650612</v>
      </c>
      <c r="E3">
        <v>51832672</v>
      </c>
    </row>
    <row r="4" spans="1:5" x14ac:dyDescent="0.3">
      <c r="C4" t="s">
        <v>18</v>
      </c>
      <c r="D4">
        <v>-20305793</v>
      </c>
      <c r="E4">
        <v>-23060191</v>
      </c>
    </row>
    <row r="5" spans="1:5" ht="14.5" x14ac:dyDescent="0.35">
      <c r="B5" s="7" t="s">
        <v>31</v>
      </c>
      <c r="C5" s="7"/>
      <c r="D5" s="7">
        <f>SUM(D3:D4)</f>
        <v>30344819</v>
      </c>
      <c r="E5" s="7">
        <f>SUM(E3:E4)</f>
        <v>28772481</v>
      </c>
    </row>
    <row r="6" spans="1:5" x14ac:dyDescent="0.3">
      <c r="C6" t="s">
        <v>19</v>
      </c>
      <c r="D6">
        <f>-7198738-3852430</f>
        <v>-11051168</v>
      </c>
      <c r="E6">
        <f>-6378023-4430911</f>
        <v>-10808934</v>
      </c>
    </row>
    <row r="7" spans="1:5" ht="14.5" x14ac:dyDescent="0.35">
      <c r="B7" s="7" t="s">
        <v>32</v>
      </c>
      <c r="C7" s="7"/>
      <c r="D7" s="7">
        <f>SUM(D5:D6)</f>
        <v>19293651</v>
      </c>
      <c r="E7" s="7">
        <f>SUM(E5:E6)</f>
        <v>17963547</v>
      </c>
    </row>
    <row r="8" spans="1:5" x14ac:dyDescent="0.3">
      <c r="C8" t="s">
        <v>20</v>
      </c>
      <c r="D8">
        <v>-7434369</v>
      </c>
      <c r="E8">
        <v>-8062870</v>
      </c>
    </row>
    <row r="9" spans="1:5" ht="14.5" x14ac:dyDescent="0.35">
      <c r="B9" s="7" t="s">
        <v>33</v>
      </c>
      <c r="C9" s="7"/>
      <c r="D9" s="7">
        <f>SUM(D7:D8)</f>
        <v>11859282</v>
      </c>
      <c r="E9" s="7">
        <f>SUM(E7:E8)</f>
        <v>9900677</v>
      </c>
    </row>
    <row r="10" spans="1:5" x14ac:dyDescent="0.3">
      <c r="C10" t="s">
        <v>21</v>
      </c>
      <c r="D10">
        <v>-238410</v>
      </c>
      <c r="E10">
        <v>-203658</v>
      </c>
    </row>
    <row r="11" spans="1:5" x14ac:dyDescent="0.3">
      <c r="C11" t="s">
        <v>213</v>
      </c>
      <c r="D11">
        <v>-1134850</v>
      </c>
      <c r="E11">
        <v>-188417</v>
      </c>
    </row>
    <row r="12" spans="1:5" x14ac:dyDescent="0.3">
      <c r="C12" t="s">
        <v>214</v>
      </c>
      <c r="D12">
        <v>-696844</v>
      </c>
      <c r="E12">
        <v>-750797</v>
      </c>
    </row>
    <row r="13" spans="1:5" ht="14.5" x14ac:dyDescent="0.35">
      <c r="B13" s="7" t="s">
        <v>215</v>
      </c>
      <c r="C13" s="7"/>
      <c r="D13" s="7">
        <f>SUM(D9:D12)</f>
        <v>9789178</v>
      </c>
      <c r="E13" s="7">
        <f>SUM(E9:E12)</f>
        <v>8757805</v>
      </c>
    </row>
    <row r="14" spans="1:5" x14ac:dyDescent="0.3">
      <c r="C14" t="s">
        <v>216</v>
      </c>
      <c r="D14">
        <v>-530750</v>
      </c>
      <c r="E14">
        <v>-226100</v>
      </c>
    </row>
    <row r="15" spans="1:5" ht="14.5" x14ac:dyDescent="0.35">
      <c r="B15" s="7" t="s">
        <v>23</v>
      </c>
      <c r="C15" s="7"/>
      <c r="D15" s="7">
        <f>SUM(D13:D14)</f>
        <v>9258428</v>
      </c>
      <c r="E15" s="7">
        <f>SUM(E13:E14)</f>
        <v>8531705</v>
      </c>
    </row>
    <row r="17" spans="1:5" ht="14.5" x14ac:dyDescent="0.35">
      <c r="A17" s="5" t="s">
        <v>1</v>
      </c>
    </row>
    <row r="18" spans="1:5" x14ac:dyDescent="0.3">
      <c r="C18" t="s">
        <v>217</v>
      </c>
      <c r="D18">
        <v>4504046</v>
      </c>
      <c r="E18">
        <v>3594467</v>
      </c>
    </row>
    <row r="19" spans="1:5" x14ac:dyDescent="0.3">
      <c r="C19" t="s">
        <v>7</v>
      </c>
      <c r="D19">
        <v>11796090</v>
      </c>
      <c r="E19">
        <v>18460545</v>
      </c>
    </row>
    <row r="20" spans="1:5" x14ac:dyDescent="0.3">
      <c r="C20" t="s">
        <v>8</v>
      </c>
      <c r="D20">
        <v>789701</v>
      </c>
      <c r="E20">
        <v>486483</v>
      </c>
    </row>
    <row r="21" spans="1:5" x14ac:dyDescent="0.3">
      <c r="C21" t="s">
        <v>68</v>
      </c>
      <c r="D21">
        <v>19899040</v>
      </c>
      <c r="E21">
        <v>17837356</v>
      </c>
    </row>
    <row r="22" spans="1:5" ht="14.5" x14ac:dyDescent="0.35">
      <c r="C22" s="7" t="s">
        <v>41</v>
      </c>
      <c r="D22" s="7">
        <f>SUM(D18:D21)</f>
        <v>36988877</v>
      </c>
      <c r="E22" s="7">
        <f>SUM(E18:E21)</f>
        <v>40378851</v>
      </c>
    </row>
    <row r="23" spans="1:5" x14ac:dyDescent="0.3">
      <c r="C23" t="s">
        <v>9</v>
      </c>
      <c r="D23">
        <v>40487591</v>
      </c>
      <c r="E23">
        <v>43030633</v>
      </c>
    </row>
    <row r="24" spans="1:5" x14ac:dyDescent="0.3">
      <c r="C24" t="s">
        <v>218</v>
      </c>
      <c r="D24">
        <v>4783107</v>
      </c>
      <c r="E24">
        <v>4393562</v>
      </c>
    </row>
    <row r="25" spans="1:5" x14ac:dyDescent="0.3">
      <c r="C25" t="s">
        <v>70</v>
      </c>
      <c r="D25">
        <v>14401534</v>
      </c>
      <c r="E25">
        <v>13803479</v>
      </c>
    </row>
    <row r="26" spans="1:5" ht="14.5" x14ac:dyDescent="0.35">
      <c r="B26" s="7" t="s">
        <v>10</v>
      </c>
      <c r="C26" s="7"/>
      <c r="D26" s="7">
        <f>SUM(D22:D25)</f>
        <v>96661109</v>
      </c>
      <c r="E26" s="7">
        <f>SUM(E22:E25)</f>
        <v>101606525</v>
      </c>
    </row>
    <row r="28" spans="1:5" ht="14" x14ac:dyDescent="0.3">
      <c r="C28" t="s">
        <v>12</v>
      </c>
      <c r="D28" s="32">
        <v>3796511</v>
      </c>
      <c r="E28" s="33">
        <v>4855219</v>
      </c>
    </row>
    <row r="29" spans="1:5" ht="14" x14ac:dyDescent="0.3">
      <c r="C29" t="s">
        <v>219</v>
      </c>
      <c r="D29" s="32">
        <v>1903087</v>
      </c>
      <c r="E29" s="33">
        <v>1864027</v>
      </c>
    </row>
    <row r="30" spans="1:5" x14ac:dyDescent="0.3">
      <c r="C30" t="s">
        <v>220</v>
      </c>
      <c r="D30">
        <v>17014793</v>
      </c>
      <c r="E30">
        <v>23328006</v>
      </c>
    </row>
    <row r="31" spans="1:5" ht="14.5" x14ac:dyDescent="0.35">
      <c r="B31" s="7" t="s">
        <v>221</v>
      </c>
      <c r="C31" s="7"/>
      <c r="D31" s="7">
        <f>SUM(D28:D30)</f>
        <v>22714391</v>
      </c>
      <c r="E31" s="7">
        <f>SUM(E28:E30)</f>
        <v>30047252</v>
      </c>
    </row>
    <row r="32" spans="1:5" ht="14" x14ac:dyDescent="0.3">
      <c r="C32" t="s">
        <v>222</v>
      </c>
      <c r="D32" s="32">
        <v>5744076</v>
      </c>
      <c r="E32" s="33">
        <v>4017231</v>
      </c>
    </row>
    <row r="33" spans="1:5" ht="14" x14ac:dyDescent="0.3">
      <c r="C33" t="s">
        <v>223</v>
      </c>
      <c r="D33" s="32">
        <v>6240399</v>
      </c>
      <c r="E33" s="32">
        <v>6465647</v>
      </c>
    </row>
    <row r="34" spans="1:5" ht="14.5" x14ac:dyDescent="0.35">
      <c r="B34" s="7" t="s">
        <v>224</v>
      </c>
      <c r="C34" s="7"/>
      <c r="D34" s="7">
        <f>SUM(D31:D33)</f>
        <v>34698866</v>
      </c>
      <c r="E34" s="7">
        <f>SUM(E31:E33)</f>
        <v>40530130</v>
      </c>
    </row>
    <row r="35" spans="1:5" x14ac:dyDescent="0.3">
      <c r="C35" t="s">
        <v>13</v>
      </c>
      <c r="D35">
        <v>25888435</v>
      </c>
      <c r="E35">
        <v>24555799</v>
      </c>
    </row>
    <row r="36" spans="1:5" ht="14" x14ac:dyDescent="0.3">
      <c r="C36" t="s">
        <v>225</v>
      </c>
      <c r="D36" s="32">
        <v>34652901</v>
      </c>
      <c r="E36" s="33">
        <v>35184606</v>
      </c>
    </row>
    <row r="37" spans="1:5" ht="14" x14ac:dyDescent="0.3">
      <c r="C37" t="s">
        <v>226</v>
      </c>
      <c r="D37" s="32">
        <v>1420907</v>
      </c>
      <c r="E37" s="33">
        <v>1335990</v>
      </c>
    </row>
    <row r="38" spans="1:5" ht="14.5" x14ac:dyDescent="0.35">
      <c r="C38" s="7" t="s">
        <v>227</v>
      </c>
      <c r="D38" s="34">
        <f>SUM(D35:D37)</f>
        <v>61962243</v>
      </c>
      <c r="E38" s="34">
        <f>SUM(E35:E37)</f>
        <v>61076395</v>
      </c>
    </row>
    <row r="40" spans="1:5" ht="14.5" x14ac:dyDescent="0.35">
      <c r="A40" s="5" t="s">
        <v>191</v>
      </c>
      <c r="D40" s="32"/>
      <c r="E40" s="33"/>
    </row>
    <row r="41" spans="1:5" ht="14.5" x14ac:dyDescent="0.35">
      <c r="A41" s="5"/>
    </row>
    <row r="42" spans="1:5" x14ac:dyDescent="0.3">
      <c r="C42" t="s">
        <v>31</v>
      </c>
      <c r="D42">
        <f>D5</f>
        <v>30344819</v>
      </c>
      <c r="E42">
        <f>E5</f>
        <v>28772481</v>
      </c>
    </row>
    <row r="43" spans="1:5" x14ac:dyDescent="0.3">
      <c r="C43" t="s">
        <v>5</v>
      </c>
      <c r="D43">
        <f>D3</f>
        <v>50650612</v>
      </c>
      <c r="E43">
        <f>E3</f>
        <v>51832672</v>
      </c>
    </row>
    <row r="44" spans="1:5" ht="14.5" x14ac:dyDescent="0.35">
      <c r="B44" s="7" t="s">
        <v>192</v>
      </c>
      <c r="C44" s="7"/>
      <c r="D44" s="13">
        <f>D42/D43</f>
        <v>0.5991007374205074</v>
      </c>
      <c r="E44" s="13">
        <f>E42/E43</f>
        <v>0.55510317893702255</v>
      </c>
    </row>
    <row r="45" spans="1:5" x14ac:dyDescent="0.3">
      <c r="C45" t="s">
        <v>32</v>
      </c>
      <c r="D45">
        <f>D7</f>
        <v>19293651</v>
      </c>
      <c r="E45">
        <f>E7</f>
        <v>17963547</v>
      </c>
    </row>
    <row r="46" spans="1:5" x14ac:dyDescent="0.3">
      <c r="C46" t="s">
        <v>5</v>
      </c>
      <c r="D46">
        <f>D43</f>
        <v>50650612</v>
      </c>
      <c r="E46">
        <f>E43</f>
        <v>51832672</v>
      </c>
    </row>
    <row r="47" spans="1:5" ht="14.5" x14ac:dyDescent="0.35">
      <c r="B47" s="7" t="s">
        <v>197</v>
      </c>
      <c r="C47" s="7"/>
      <c r="D47" s="13">
        <f>D45/D46</f>
        <v>0.3809164438131567</v>
      </c>
      <c r="E47" s="13">
        <f>E45/E46</f>
        <v>0.34656802952392651</v>
      </c>
    </row>
    <row r="48" spans="1:5" x14ac:dyDescent="0.3">
      <c r="C48" t="s">
        <v>33</v>
      </c>
      <c r="D48">
        <f>D9</f>
        <v>11859282</v>
      </c>
      <c r="E48">
        <f>E9</f>
        <v>9900677</v>
      </c>
    </row>
    <row r="49" spans="1:5" x14ac:dyDescent="0.3">
      <c r="C49" t="s">
        <v>5</v>
      </c>
      <c r="D49">
        <f>D46</f>
        <v>50650612</v>
      </c>
      <c r="E49">
        <f>E46</f>
        <v>51832672</v>
      </c>
    </row>
    <row r="50" spans="1:5" ht="14.5" x14ac:dyDescent="0.35">
      <c r="B50" s="7" t="s">
        <v>198</v>
      </c>
      <c r="C50" s="7"/>
      <c r="D50" s="13">
        <f>D48/D49</f>
        <v>0.23413896756074734</v>
      </c>
      <c r="E50" s="13">
        <f>E48/E49</f>
        <v>0.19101228275478446</v>
      </c>
    </row>
    <row r="51" spans="1:5" x14ac:dyDescent="0.3">
      <c r="C51" t="s">
        <v>23</v>
      </c>
      <c r="D51">
        <f>D15</f>
        <v>9258428</v>
      </c>
      <c r="E51">
        <f>E15</f>
        <v>8531705</v>
      </c>
    </row>
    <row r="52" spans="1:5" x14ac:dyDescent="0.3">
      <c r="C52" t="s">
        <v>5</v>
      </c>
      <c r="D52">
        <f>D49</f>
        <v>50650612</v>
      </c>
      <c r="E52">
        <f>E49</f>
        <v>51832672</v>
      </c>
    </row>
    <row r="53" spans="1:5" ht="14.5" x14ac:dyDescent="0.35">
      <c r="B53" s="7" t="s">
        <v>199</v>
      </c>
      <c r="C53" s="7"/>
      <c r="D53" s="13">
        <f>D51/D52</f>
        <v>0.18279005197410053</v>
      </c>
      <c r="E53" s="13">
        <f>E51/E52</f>
        <v>0.16460091040647104</v>
      </c>
    </row>
    <row r="55" spans="1:5" ht="14.5" x14ac:dyDescent="0.35">
      <c r="A55" s="5" t="s">
        <v>202</v>
      </c>
    </row>
    <row r="56" spans="1:5" x14ac:dyDescent="0.3">
      <c r="C56" t="s">
        <v>23</v>
      </c>
      <c r="D56">
        <f>D51</f>
        <v>9258428</v>
      </c>
      <c r="E56">
        <f>E51</f>
        <v>8531705</v>
      </c>
    </row>
    <row r="57" spans="1:5" x14ac:dyDescent="0.3">
      <c r="C57" t="s">
        <v>45</v>
      </c>
      <c r="D57">
        <f>D38</f>
        <v>61962243</v>
      </c>
      <c r="E57">
        <f>E38</f>
        <v>61076395</v>
      </c>
    </row>
    <row r="58" spans="1:5" ht="14.5" x14ac:dyDescent="0.35">
      <c r="B58" s="7" t="s">
        <v>204</v>
      </c>
      <c r="C58" s="7"/>
      <c r="D58" s="13">
        <f>D56/D57</f>
        <v>0.14942047853238624</v>
      </c>
      <c r="E58" s="13">
        <f>E56/E57</f>
        <v>0.13968907300439065</v>
      </c>
    </row>
    <row r="59" spans="1:5" x14ac:dyDescent="0.3">
      <c r="C59" t="s">
        <v>33</v>
      </c>
      <c r="D59">
        <f>D48</f>
        <v>11859282</v>
      </c>
      <c r="E59">
        <f>E48</f>
        <v>9900677</v>
      </c>
    </row>
    <row r="60" spans="1:5" x14ac:dyDescent="0.3">
      <c r="C60" t="s">
        <v>206</v>
      </c>
      <c r="D60">
        <f>D57+D32</f>
        <v>67706319</v>
      </c>
      <c r="E60">
        <f>E57+E32</f>
        <v>65093626</v>
      </c>
    </row>
    <row r="61" spans="1:5" ht="14.5" x14ac:dyDescent="0.35">
      <c r="B61" s="7" t="s">
        <v>208</v>
      </c>
      <c r="C61" s="7"/>
      <c r="D61" s="13">
        <f>D59/D60</f>
        <v>0.17515768358341854</v>
      </c>
      <c r="E61" s="13">
        <f>E59/E60</f>
        <v>0.15209902425776681</v>
      </c>
    </row>
    <row r="62" spans="1:5" x14ac:dyDescent="0.3">
      <c r="C62" t="s">
        <v>33</v>
      </c>
      <c r="D62">
        <f>D48</f>
        <v>11859282</v>
      </c>
      <c r="E62">
        <f>E48</f>
        <v>9900677</v>
      </c>
    </row>
    <row r="63" spans="1:5" x14ac:dyDescent="0.3">
      <c r="C63" t="s">
        <v>10</v>
      </c>
      <c r="D63">
        <f>D26</f>
        <v>96661109</v>
      </c>
      <c r="E63">
        <f>E26</f>
        <v>101606525</v>
      </c>
    </row>
    <row r="64" spans="1:5" ht="14.5" x14ac:dyDescent="0.35">
      <c r="B64" s="7" t="s">
        <v>265</v>
      </c>
      <c r="C64" s="7"/>
      <c r="D64" s="13">
        <f>D62/D63</f>
        <v>0.12268928137375291</v>
      </c>
      <c r="E64" s="13">
        <f>E62/E63</f>
        <v>9.7441350346348321E-2</v>
      </c>
    </row>
    <row r="66" spans="1:5" ht="14.5" x14ac:dyDescent="0.35">
      <c r="A66" s="5" t="s">
        <v>228</v>
      </c>
    </row>
    <row r="67" spans="1:5" x14ac:dyDescent="0.3">
      <c r="C67" t="s">
        <v>229</v>
      </c>
      <c r="D67">
        <f>D32</f>
        <v>5744076</v>
      </c>
      <c r="E67">
        <f>E32</f>
        <v>4017231</v>
      </c>
    </row>
    <row r="68" spans="1:5" x14ac:dyDescent="0.3">
      <c r="C68" t="s">
        <v>230</v>
      </c>
      <c r="D68">
        <f>D38</f>
        <v>61962243</v>
      </c>
      <c r="E68">
        <f>E57</f>
        <v>61076395</v>
      </c>
    </row>
    <row r="69" spans="1:5" x14ac:dyDescent="0.3">
      <c r="A69" s="6"/>
      <c r="B69" s="6" t="s">
        <v>231</v>
      </c>
      <c r="C69" s="6"/>
      <c r="D69" s="13">
        <f>D67/D68</f>
        <v>9.270284163212103E-2</v>
      </c>
      <c r="E69" s="13">
        <f>E67/E68</f>
        <v>6.5773872213643253E-2</v>
      </c>
    </row>
    <row r="70" spans="1:5" x14ac:dyDescent="0.3">
      <c r="C70" t="s">
        <v>229</v>
      </c>
      <c r="D70">
        <f>D67</f>
        <v>5744076</v>
      </c>
      <c r="E70">
        <f>E32</f>
        <v>4017231</v>
      </c>
    </row>
    <row r="71" spans="1:5" x14ac:dyDescent="0.3">
      <c r="C71" t="s">
        <v>232</v>
      </c>
      <c r="D71">
        <f>D38+D32</f>
        <v>67706319</v>
      </c>
      <c r="E71">
        <f>E70+E68</f>
        <v>65093626</v>
      </c>
    </row>
    <row r="72" spans="1:5" x14ac:dyDescent="0.3">
      <c r="A72" s="6"/>
      <c r="B72" s="6" t="s">
        <v>233</v>
      </c>
      <c r="C72" s="6"/>
      <c r="D72" s="13">
        <f>D70/D71</f>
        <v>8.4838107946763427E-2</v>
      </c>
      <c r="E72" s="13">
        <f>E70/E71</f>
        <v>6.1714660049818085E-2</v>
      </c>
    </row>
    <row r="73" spans="1:5" x14ac:dyDescent="0.3">
      <c r="C73" t="s">
        <v>229</v>
      </c>
      <c r="D73">
        <f>D70</f>
        <v>5744076</v>
      </c>
      <c r="E73">
        <f>E70</f>
        <v>4017231</v>
      </c>
    </row>
    <row r="74" spans="1:5" x14ac:dyDescent="0.3">
      <c r="C74" t="s">
        <v>32</v>
      </c>
      <c r="D74">
        <f>D45</f>
        <v>19293651</v>
      </c>
      <c r="E74">
        <f>E45</f>
        <v>17963547</v>
      </c>
    </row>
    <row r="75" spans="1:5" x14ac:dyDescent="0.3">
      <c r="A75" s="6"/>
      <c r="B75" s="6" t="s">
        <v>234</v>
      </c>
      <c r="C75" s="6"/>
      <c r="D75" s="35">
        <f>D73/D74</f>
        <v>0.29771845670889352</v>
      </c>
      <c r="E75" s="35">
        <f>E73/E74</f>
        <v>0.2236323928676224</v>
      </c>
    </row>
    <row r="76" spans="1:5" x14ac:dyDescent="0.3">
      <c r="C76" t="s">
        <v>32</v>
      </c>
      <c r="D76">
        <f>D74</f>
        <v>19293651</v>
      </c>
      <c r="E76">
        <f>E74</f>
        <v>17963547</v>
      </c>
    </row>
    <row r="77" spans="1:5" x14ac:dyDescent="0.3">
      <c r="C77" t="s">
        <v>21</v>
      </c>
      <c r="D77">
        <f>D10</f>
        <v>-238410</v>
      </c>
      <c r="E77">
        <f>E10</f>
        <v>-203658</v>
      </c>
    </row>
    <row r="78" spans="1:5" x14ac:dyDescent="0.3">
      <c r="A78" s="6"/>
      <c r="B78" s="6" t="s">
        <v>235</v>
      </c>
      <c r="C78" s="6"/>
      <c r="D78" s="35">
        <f>D76/-D77</f>
        <v>80.92634956587392</v>
      </c>
      <c r="E78">
        <f>E76/-E77</f>
        <v>88.20447514951536</v>
      </c>
    </row>
    <row r="80" spans="1:5" ht="14.5" x14ac:dyDescent="0.35">
      <c r="A80" s="5" t="s">
        <v>236</v>
      </c>
    </row>
    <row r="81" spans="3:19" x14ac:dyDescent="0.3">
      <c r="C81" t="s">
        <v>35</v>
      </c>
      <c r="D81">
        <f>D22</f>
        <v>36988877</v>
      </c>
      <c r="E81">
        <f>E22</f>
        <v>40378851</v>
      </c>
    </row>
    <row r="82" spans="3:19" x14ac:dyDescent="0.3">
      <c r="C82" t="s">
        <v>244</v>
      </c>
      <c r="D82">
        <f>D31</f>
        <v>22714391</v>
      </c>
      <c r="E82">
        <f>E31</f>
        <v>30047252</v>
      </c>
    </row>
    <row r="83" spans="3:19" x14ac:dyDescent="0.3">
      <c r="C83" s="6" t="s">
        <v>245</v>
      </c>
      <c r="D83">
        <f>D81/D82</f>
        <v>1.628433577638071</v>
      </c>
      <c r="E83">
        <f>E81/E82</f>
        <v>1.3438450544495717</v>
      </c>
    </row>
    <row r="84" spans="3:19" x14ac:dyDescent="0.3">
      <c r="C84" t="s">
        <v>247</v>
      </c>
      <c r="D84" s="48">
        <f>D22-D20</f>
        <v>36199176</v>
      </c>
      <c r="E84" s="48">
        <f>E22-E20</f>
        <v>39892368</v>
      </c>
    </row>
    <row r="85" spans="3:19" x14ac:dyDescent="0.3">
      <c r="C85" t="s">
        <v>248</v>
      </c>
      <c r="D85">
        <f>D31</f>
        <v>22714391</v>
      </c>
      <c r="E85">
        <f>E31</f>
        <v>30047252</v>
      </c>
      <c r="S85" t="e">
        <f>S83/STC!D77S84</f>
        <v>#NAME?</v>
      </c>
    </row>
    <row r="86" spans="3:19" x14ac:dyDescent="0.3">
      <c r="C86" s="6" t="s">
        <v>249</v>
      </c>
      <c r="D86">
        <f>D84/D85</f>
        <v>1.5936670280968572</v>
      </c>
      <c r="E86">
        <f>E84/E85</f>
        <v>1.327654455721941</v>
      </c>
    </row>
    <row r="87" spans="3:19" x14ac:dyDescent="0.3">
      <c r="C87" t="s">
        <v>252</v>
      </c>
      <c r="E87">
        <f>(D19+E19)/2</f>
        <v>15128317.5</v>
      </c>
    </row>
    <row r="88" spans="3:19" x14ac:dyDescent="0.3">
      <c r="C88" t="s">
        <v>5</v>
      </c>
      <c r="E88">
        <f>E3</f>
        <v>51832672</v>
      </c>
    </row>
    <row r="89" spans="3:19" x14ac:dyDescent="0.3">
      <c r="C89" s="6" t="s">
        <v>253</v>
      </c>
      <c r="E89">
        <f>E87/E88*365</f>
        <v>106.5319551247522</v>
      </c>
    </row>
    <row r="90" spans="3:19" x14ac:dyDescent="0.3">
      <c r="C90" t="s">
        <v>255</v>
      </c>
      <c r="E90">
        <f>(D20+E20)/2</f>
        <v>638092</v>
      </c>
    </row>
    <row r="91" spans="3:19" x14ac:dyDescent="0.3">
      <c r="C91" t="s">
        <v>256</v>
      </c>
      <c r="E91">
        <f>-E4</f>
        <v>23060191</v>
      </c>
    </row>
    <row r="92" spans="3:19" x14ac:dyDescent="0.3">
      <c r="C92" s="6" t="s">
        <v>257</v>
      </c>
      <c r="E92">
        <f>E90/E91*365</f>
        <v>10.099811402255948</v>
      </c>
    </row>
    <row r="93" spans="3:19" x14ac:dyDescent="0.3">
      <c r="C93" t="s">
        <v>258</v>
      </c>
      <c r="E93">
        <f>(E28+D28)/2</f>
        <v>4325865</v>
      </c>
    </row>
    <row r="94" spans="3:19" x14ac:dyDescent="0.3">
      <c r="C94" t="s">
        <v>256</v>
      </c>
      <c r="E94">
        <f>E91</f>
        <v>23060191</v>
      </c>
    </row>
    <row r="95" spans="3:19" x14ac:dyDescent="0.3">
      <c r="C95" s="6" t="s">
        <v>259</v>
      </c>
      <c r="E95">
        <f>E93/E94*365</f>
        <v>68.470409677005719</v>
      </c>
    </row>
    <row r="96" spans="3:19" x14ac:dyDescent="0.3">
      <c r="C96" t="s">
        <v>253</v>
      </c>
      <c r="E96">
        <f>E89</f>
        <v>106.5319551247522</v>
      </c>
    </row>
    <row r="97" spans="3:5" x14ac:dyDescent="0.3">
      <c r="C97" t="s">
        <v>257</v>
      </c>
      <c r="E97">
        <f>E92</f>
        <v>10.099811402255948</v>
      </c>
    </row>
    <row r="98" spans="3:5" x14ac:dyDescent="0.3">
      <c r="C98" t="s">
        <v>259</v>
      </c>
      <c r="E98">
        <f>E95</f>
        <v>68.470409677005719</v>
      </c>
    </row>
    <row r="99" spans="3:5" x14ac:dyDescent="0.3">
      <c r="C99" s="6" t="s">
        <v>260</v>
      </c>
      <c r="E99">
        <f>E96+E97-E98</f>
        <v>48.161356850002434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E039-4F3F-4729-803B-C8BBCB5D3773}">
  <dimension ref="A1:S99"/>
  <sheetViews>
    <sheetView zoomScale="120" zoomScaleNormal="12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RowHeight="13" x14ac:dyDescent="0.3"/>
  <cols>
    <col min="1" max="2" width="1.69921875" customWidth="1"/>
    <col min="3" max="3" width="26.8984375" customWidth="1"/>
    <col min="4" max="5" width="15.69921875" customWidth="1"/>
    <col min="6" max="7" width="1.69921875" customWidth="1"/>
    <col min="9" max="9" width="12.59765625" customWidth="1"/>
    <col min="10" max="10" width="11.3984375" customWidth="1"/>
  </cols>
  <sheetData>
    <row r="1" spans="1:5" x14ac:dyDescent="0.3">
      <c r="E1" t="s">
        <v>251</v>
      </c>
    </row>
    <row r="2" spans="1:5" ht="14.5" x14ac:dyDescent="0.35">
      <c r="A2" s="5" t="s">
        <v>0</v>
      </c>
      <c r="D2" s="31">
        <v>2015</v>
      </c>
      <c r="E2" s="31">
        <v>2016</v>
      </c>
    </row>
    <row r="3" spans="1:5" x14ac:dyDescent="0.3">
      <c r="C3" t="s">
        <v>30</v>
      </c>
      <c r="D3">
        <v>6741382</v>
      </c>
      <c r="E3">
        <v>6926652</v>
      </c>
    </row>
    <row r="4" spans="1:5" x14ac:dyDescent="0.3">
      <c r="C4" t="s">
        <v>18</v>
      </c>
      <c r="D4">
        <v>-2790279</v>
      </c>
      <c r="E4">
        <v>-2525984</v>
      </c>
    </row>
    <row r="5" spans="1:5" ht="14.5" x14ac:dyDescent="0.35">
      <c r="B5" s="7" t="s">
        <v>31</v>
      </c>
      <c r="C5" s="7"/>
      <c r="D5" s="7">
        <f>SUM(D3:D4)</f>
        <v>3951103</v>
      </c>
      <c r="E5" s="7">
        <f>SUM(E3:E4)</f>
        <v>4400668</v>
      </c>
    </row>
    <row r="6" spans="1:5" x14ac:dyDescent="0.3">
      <c r="C6" t="s">
        <v>19</v>
      </c>
      <c r="D6">
        <f>-2047236-275065</f>
        <v>-2322301</v>
      </c>
      <c r="E6">
        <f>-2365900-239769</f>
        <v>-2605669</v>
      </c>
    </row>
    <row r="7" spans="1:5" ht="14.5" x14ac:dyDescent="0.35">
      <c r="B7" s="7" t="s">
        <v>32</v>
      </c>
      <c r="C7" s="7"/>
      <c r="D7" s="7">
        <f>SUM(D5:D6)</f>
        <v>1628802</v>
      </c>
      <c r="E7" s="7">
        <f>SUM(E5:E6)</f>
        <v>1794999</v>
      </c>
    </row>
    <row r="8" spans="1:5" x14ac:dyDescent="0.3">
      <c r="C8" t="s">
        <v>20</v>
      </c>
      <c r="D8">
        <v>-1770224</v>
      </c>
      <c r="E8">
        <v>-1849858</v>
      </c>
    </row>
    <row r="9" spans="1:5" ht="14.5" x14ac:dyDescent="0.35">
      <c r="B9" s="7" t="s">
        <v>33</v>
      </c>
      <c r="C9" s="7"/>
      <c r="D9" s="7">
        <f>SUM(D7:D8)</f>
        <v>-141422</v>
      </c>
      <c r="E9" s="7">
        <f>SUM(E7:E8)</f>
        <v>-54859</v>
      </c>
    </row>
    <row r="10" spans="1:5" x14ac:dyDescent="0.3">
      <c r="C10" t="s">
        <v>266</v>
      </c>
      <c r="D10">
        <v>-837937</v>
      </c>
      <c r="E10">
        <v>-953013</v>
      </c>
    </row>
    <row r="11" spans="1:5" x14ac:dyDescent="0.3">
      <c r="C11" t="s">
        <v>213</v>
      </c>
      <c r="D11">
        <v>7410</v>
      </c>
      <c r="E11">
        <v>27865</v>
      </c>
    </row>
    <row r="12" spans="1:5" x14ac:dyDescent="0.3">
      <c r="C12" t="s">
        <v>214</v>
      </c>
      <c r="D12">
        <v>0</v>
      </c>
      <c r="E12">
        <v>0</v>
      </c>
    </row>
    <row r="13" spans="1:5" ht="14.5" x14ac:dyDescent="0.35">
      <c r="B13" s="7" t="s">
        <v>215</v>
      </c>
      <c r="C13" s="7"/>
      <c r="D13" s="7">
        <f>SUM(D9:D12)</f>
        <v>-971949</v>
      </c>
      <c r="E13" s="7">
        <f>SUM(E9:E12)</f>
        <v>-980007</v>
      </c>
    </row>
    <row r="14" spans="1:5" x14ac:dyDescent="0.3">
      <c r="C14" t="s">
        <v>216</v>
      </c>
      <c r="D14">
        <v>0</v>
      </c>
      <c r="E14">
        <v>0</v>
      </c>
    </row>
    <row r="15" spans="1:5" ht="14.5" x14ac:dyDescent="0.35">
      <c r="B15" s="7" t="s">
        <v>23</v>
      </c>
      <c r="C15" s="7"/>
      <c r="D15" s="7">
        <f>SUM(D13:D14)</f>
        <v>-971949</v>
      </c>
      <c r="E15" s="7">
        <f>SUM(E13:E14)</f>
        <v>-980007</v>
      </c>
    </row>
    <row r="17" spans="1:5" ht="14.5" x14ac:dyDescent="0.35">
      <c r="A17" s="5" t="s">
        <v>1</v>
      </c>
    </row>
    <row r="18" spans="1:5" x14ac:dyDescent="0.3">
      <c r="C18" t="s">
        <v>217</v>
      </c>
      <c r="D18">
        <v>1378498</v>
      </c>
      <c r="E18">
        <v>918560</v>
      </c>
    </row>
    <row r="19" spans="1:5" x14ac:dyDescent="0.3">
      <c r="C19" t="s">
        <v>7</v>
      </c>
      <c r="D19">
        <v>1092856</v>
      </c>
      <c r="E19">
        <v>1108563</v>
      </c>
    </row>
    <row r="20" spans="1:5" x14ac:dyDescent="0.3">
      <c r="C20" t="s">
        <v>8</v>
      </c>
      <c r="D20">
        <v>103613</v>
      </c>
      <c r="E20">
        <v>42101</v>
      </c>
    </row>
    <row r="21" spans="1:5" x14ac:dyDescent="0.3">
      <c r="C21" t="s">
        <v>68</v>
      </c>
      <c r="D21">
        <v>1521004</v>
      </c>
      <c r="E21">
        <v>1243237</v>
      </c>
    </row>
    <row r="22" spans="1:5" ht="14.5" x14ac:dyDescent="0.35">
      <c r="C22" s="7" t="s">
        <v>41</v>
      </c>
      <c r="D22" s="7">
        <f>SUM(D18:D21)</f>
        <v>4095971</v>
      </c>
      <c r="E22" s="7">
        <f>SUM(E18:E21)</f>
        <v>3312461</v>
      </c>
    </row>
    <row r="23" spans="1:5" x14ac:dyDescent="0.3">
      <c r="C23" t="s">
        <v>9</v>
      </c>
      <c r="D23">
        <v>5007464</v>
      </c>
      <c r="E23">
        <v>7005995</v>
      </c>
    </row>
    <row r="24" spans="1:5" x14ac:dyDescent="0.3">
      <c r="C24" t="s">
        <v>218</v>
      </c>
      <c r="D24">
        <v>16812756</v>
      </c>
      <c r="E24">
        <v>16196261</v>
      </c>
    </row>
    <row r="25" spans="1:5" x14ac:dyDescent="0.3">
      <c r="C25" t="s">
        <v>70</v>
      </c>
      <c r="D25">
        <v>132102</v>
      </c>
      <c r="E25">
        <v>96208</v>
      </c>
    </row>
    <row r="26" spans="1:5" ht="14.5" x14ac:dyDescent="0.35">
      <c r="B26" s="7" t="s">
        <v>10</v>
      </c>
      <c r="C26" s="7"/>
      <c r="D26" s="7">
        <f>SUM(D22:D25)</f>
        <v>26048293</v>
      </c>
      <c r="E26" s="7">
        <f>SUM(E22:E25)</f>
        <v>26610925</v>
      </c>
    </row>
    <row r="28" spans="1:5" ht="14" x14ac:dyDescent="0.3">
      <c r="C28" t="s">
        <v>12</v>
      </c>
      <c r="D28" s="32">
        <v>286040</v>
      </c>
      <c r="E28" s="32">
        <v>713760</v>
      </c>
    </row>
    <row r="29" spans="1:5" ht="14" x14ac:dyDescent="0.3">
      <c r="C29" t="s">
        <v>268</v>
      </c>
      <c r="D29" s="32">
        <f>2450005+329541</f>
        <v>2779546</v>
      </c>
      <c r="E29" s="32">
        <f>1796992+450195</f>
        <v>2247187</v>
      </c>
    </row>
    <row r="30" spans="1:5" x14ac:dyDescent="0.3">
      <c r="C30" t="s">
        <v>220</v>
      </c>
      <c r="D30">
        <v>3432997</v>
      </c>
      <c r="E30">
        <v>3678956</v>
      </c>
    </row>
    <row r="31" spans="1:5" ht="14.5" x14ac:dyDescent="0.35">
      <c r="B31" s="7" t="s">
        <v>221</v>
      </c>
      <c r="C31" s="7"/>
      <c r="D31" s="7">
        <f>SUM(D28:D30)</f>
        <v>6498583</v>
      </c>
      <c r="E31" s="7">
        <f>SUM(E28:E30)</f>
        <v>6639903</v>
      </c>
    </row>
    <row r="32" spans="1:5" ht="14" x14ac:dyDescent="0.3">
      <c r="C32" t="s">
        <v>269</v>
      </c>
      <c r="D32" s="32">
        <v>8615727</v>
      </c>
      <c r="E32" s="32">
        <v>8244987</v>
      </c>
    </row>
    <row r="33" spans="1:5" ht="14" x14ac:dyDescent="0.3">
      <c r="C33" t="s">
        <v>223</v>
      </c>
      <c r="D33" s="32">
        <v>6382302</v>
      </c>
      <c r="E33" s="32">
        <v>8151125</v>
      </c>
    </row>
    <row r="34" spans="1:5" ht="14.5" x14ac:dyDescent="0.35">
      <c r="B34" s="7" t="s">
        <v>224</v>
      </c>
      <c r="C34" s="7"/>
      <c r="D34" s="7">
        <f>SUM(D31:D33)</f>
        <v>21496612</v>
      </c>
      <c r="E34" s="7">
        <f>SUM(E31:E33)</f>
        <v>23036015</v>
      </c>
    </row>
    <row r="35" spans="1:5" x14ac:dyDescent="0.3">
      <c r="C35" t="s">
        <v>267</v>
      </c>
      <c r="D35">
        <f>5837292-7204</f>
        <v>5830088</v>
      </c>
      <c r="E35">
        <f>5837292-3968</f>
        <v>5833324</v>
      </c>
    </row>
    <row r="36" spans="1:5" ht="14" x14ac:dyDescent="0.3">
      <c r="C36" t="s">
        <v>225</v>
      </c>
      <c r="D36" s="32">
        <f>-1278407</f>
        <v>-1278407</v>
      </c>
      <c r="E36" s="32">
        <v>-2258414</v>
      </c>
    </row>
    <row r="37" spans="1:5" ht="14" x14ac:dyDescent="0.3">
      <c r="C37" t="s">
        <v>226</v>
      </c>
      <c r="D37" s="32">
        <v>0</v>
      </c>
      <c r="E37" s="33">
        <v>0</v>
      </c>
    </row>
    <row r="38" spans="1:5" ht="14.5" x14ac:dyDescent="0.35">
      <c r="C38" s="7" t="s">
        <v>227</v>
      </c>
      <c r="D38" s="34">
        <f>SUM(D35:D37)</f>
        <v>4551681</v>
      </c>
      <c r="E38" s="34">
        <f>SUM(E35:E37)</f>
        <v>3574910</v>
      </c>
    </row>
    <row r="40" spans="1:5" ht="14.5" x14ac:dyDescent="0.35">
      <c r="A40" s="5" t="s">
        <v>191</v>
      </c>
      <c r="D40" s="32"/>
      <c r="E40" s="33"/>
    </row>
    <row r="41" spans="1:5" ht="14.5" x14ac:dyDescent="0.35">
      <c r="A41" s="5"/>
    </row>
    <row r="42" spans="1:5" x14ac:dyDescent="0.3">
      <c r="C42" t="s">
        <v>31</v>
      </c>
      <c r="D42">
        <f>D5</f>
        <v>3951103</v>
      </c>
      <c r="E42">
        <f>E5</f>
        <v>4400668</v>
      </c>
    </row>
    <row r="43" spans="1:5" x14ac:dyDescent="0.3">
      <c r="C43" t="s">
        <v>5</v>
      </c>
      <c r="D43">
        <f>D3</f>
        <v>6741382</v>
      </c>
      <c r="E43">
        <f>E3</f>
        <v>6926652</v>
      </c>
    </row>
    <row r="44" spans="1:5" ht="14.5" x14ac:dyDescent="0.35">
      <c r="B44" s="7" t="s">
        <v>192</v>
      </c>
      <c r="C44" s="7"/>
      <c r="D44" s="30">
        <f>D42/D43</f>
        <v>0.58609688636543666</v>
      </c>
      <c r="E44" s="30">
        <f>E42/E43</f>
        <v>0.63532396314987383</v>
      </c>
    </row>
    <row r="45" spans="1:5" x14ac:dyDescent="0.3">
      <c r="C45" t="s">
        <v>32</v>
      </c>
      <c r="D45">
        <f>D7</f>
        <v>1628802</v>
      </c>
      <c r="E45">
        <f>E7</f>
        <v>1794999</v>
      </c>
    </row>
    <row r="46" spans="1:5" x14ac:dyDescent="0.3">
      <c r="C46" t="s">
        <v>5</v>
      </c>
      <c r="D46">
        <f>D43</f>
        <v>6741382</v>
      </c>
      <c r="E46">
        <f>E43</f>
        <v>6926652</v>
      </c>
    </row>
    <row r="47" spans="1:5" ht="14.5" x14ac:dyDescent="0.35">
      <c r="B47" s="7" t="s">
        <v>197</v>
      </c>
      <c r="C47" s="7"/>
      <c r="D47" s="30">
        <f>D45/D46</f>
        <v>0.24161247649220888</v>
      </c>
      <c r="E47" s="30">
        <f>E45/E46</f>
        <v>0.25914381146909071</v>
      </c>
    </row>
    <row r="48" spans="1:5" x14ac:dyDescent="0.3">
      <c r="C48" t="s">
        <v>33</v>
      </c>
      <c r="D48">
        <f>D9</f>
        <v>-141422</v>
      </c>
      <c r="E48">
        <f>E9</f>
        <v>-54859</v>
      </c>
    </row>
    <row r="49" spans="1:5" x14ac:dyDescent="0.3">
      <c r="C49" t="s">
        <v>5</v>
      </c>
      <c r="D49">
        <f>D46</f>
        <v>6741382</v>
      </c>
      <c r="E49">
        <f>E46</f>
        <v>6926652</v>
      </c>
    </row>
    <row r="50" spans="1:5" ht="14.5" x14ac:dyDescent="0.35">
      <c r="B50" s="7" t="s">
        <v>198</v>
      </c>
      <c r="C50" s="7"/>
      <c r="D50" s="30">
        <f>D48/D49</f>
        <v>-2.0978191118675667E-2</v>
      </c>
      <c r="E50" s="30">
        <f>E48/E49</f>
        <v>-7.9199878960282688E-3</v>
      </c>
    </row>
    <row r="51" spans="1:5" x14ac:dyDescent="0.3">
      <c r="C51" t="s">
        <v>23</v>
      </c>
      <c r="D51">
        <f>D15</f>
        <v>-971949</v>
      </c>
      <c r="E51">
        <f>E15</f>
        <v>-980007</v>
      </c>
    </row>
    <row r="52" spans="1:5" x14ac:dyDescent="0.3">
      <c r="C52" t="s">
        <v>5</v>
      </c>
      <c r="D52">
        <f>D49</f>
        <v>6741382</v>
      </c>
      <c r="E52">
        <f>E49</f>
        <v>6926652</v>
      </c>
    </row>
    <row r="53" spans="1:5" ht="14.5" x14ac:dyDescent="0.35">
      <c r="B53" s="7" t="s">
        <v>199</v>
      </c>
      <c r="C53" s="7"/>
      <c r="D53" s="30">
        <f>D51/D52</f>
        <v>-0.14417652048200205</v>
      </c>
      <c r="E53" s="30">
        <f>E51/E52</f>
        <v>-0.14148350458489903</v>
      </c>
    </row>
    <row r="55" spans="1:5" ht="14.5" x14ac:dyDescent="0.35">
      <c r="A55" s="5" t="s">
        <v>202</v>
      </c>
    </row>
    <row r="56" spans="1:5" x14ac:dyDescent="0.3">
      <c r="C56" t="s">
        <v>23</v>
      </c>
      <c r="D56">
        <f>D51</f>
        <v>-971949</v>
      </c>
      <c r="E56">
        <f>E51</f>
        <v>-980007</v>
      </c>
    </row>
    <row r="57" spans="1:5" x14ac:dyDescent="0.3">
      <c r="C57" t="s">
        <v>45</v>
      </c>
      <c r="D57">
        <f>D38</f>
        <v>4551681</v>
      </c>
      <c r="E57">
        <f>E38</f>
        <v>3574910</v>
      </c>
    </row>
    <row r="58" spans="1:5" ht="14.5" x14ac:dyDescent="0.35">
      <c r="B58" s="7" t="s">
        <v>204</v>
      </c>
      <c r="C58" s="7"/>
      <c r="D58" s="30">
        <f>D56/D57</f>
        <v>-0.21353627374150341</v>
      </c>
      <c r="E58" s="30">
        <f>E56/E57</f>
        <v>-0.27413473346182143</v>
      </c>
    </row>
    <row r="59" spans="1:5" x14ac:dyDescent="0.3">
      <c r="C59" t="s">
        <v>33</v>
      </c>
      <c r="D59">
        <f>D48</f>
        <v>-141422</v>
      </c>
      <c r="E59">
        <f>E48</f>
        <v>-54859</v>
      </c>
    </row>
    <row r="60" spans="1:5" x14ac:dyDescent="0.3">
      <c r="C60" t="s">
        <v>206</v>
      </c>
      <c r="D60">
        <f>D57+D32</f>
        <v>13167408</v>
      </c>
      <c r="E60">
        <f>E57+E32</f>
        <v>11819897</v>
      </c>
    </row>
    <row r="61" spans="1:5" ht="14.5" x14ac:dyDescent="0.35">
      <c r="B61" s="7" t="s">
        <v>208</v>
      </c>
      <c r="C61" s="7"/>
      <c r="D61" s="30">
        <f>D59/D60</f>
        <v>-1.0740306672353435E-2</v>
      </c>
      <c r="E61" s="30">
        <f>E59/E60</f>
        <v>-4.6412417976231099E-3</v>
      </c>
    </row>
    <row r="62" spans="1:5" x14ac:dyDescent="0.3">
      <c r="C62" t="s">
        <v>33</v>
      </c>
      <c r="D62">
        <f>D48</f>
        <v>-141422</v>
      </c>
      <c r="E62">
        <f>E48</f>
        <v>-54859</v>
      </c>
    </row>
    <row r="63" spans="1:5" x14ac:dyDescent="0.3">
      <c r="C63" t="s">
        <v>10</v>
      </c>
      <c r="D63">
        <f>D26</f>
        <v>26048293</v>
      </c>
      <c r="E63">
        <f>E26</f>
        <v>26610925</v>
      </c>
    </row>
    <row r="64" spans="1:5" ht="14.5" x14ac:dyDescent="0.35">
      <c r="B64" s="7" t="s">
        <v>265</v>
      </c>
      <c r="C64" s="7"/>
      <c r="D64" s="30">
        <f>D62/D63</f>
        <v>-5.4292233276092223E-3</v>
      </c>
      <c r="E64" s="30">
        <f>E62/E63</f>
        <v>-2.0615217246300155E-3</v>
      </c>
    </row>
    <row r="66" spans="1:5" ht="14.5" x14ac:dyDescent="0.35">
      <c r="A66" s="5" t="s">
        <v>228</v>
      </c>
    </row>
    <row r="67" spans="1:5" x14ac:dyDescent="0.3">
      <c r="C67" t="s">
        <v>229</v>
      </c>
      <c r="D67">
        <f>D32</f>
        <v>8615727</v>
      </c>
      <c r="E67">
        <f>E32</f>
        <v>8244987</v>
      </c>
    </row>
    <row r="68" spans="1:5" x14ac:dyDescent="0.3">
      <c r="C68" t="s">
        <v>230</v>
      </c>
      <c r="D68">
        <f>D38</f>
        <v>4551681</v>
      </c>
      <c r="E68">
        <f>E57</f>
        <v>3574910</v>
      </c>
    </row>
    <row r="69" spans="1:5" ht="14.5" x14ac:dyDescent="0.35">
      <c r="A69" s="7"/>
      <c r="B69" s="7" t="s">
        <v>231</v>
      </c>
      <c r="C69" s="7"/>
      <c r="D69" s="30">
        <f>D67/D68</f>
        <v>1.89286705285366</v>
      </c>
      <c r="E69" s="30">
        <f>E67/E68</f>
        <v>2.3063481318410815</v>
      </c>
    </row>
    <row r="70" spans="1:5" x14ac:dyDescent="0.3">
      <c r="C70" t="s">
        <v>229</v>
      </c>
      <c r="D70">
        <f>D67</f>
        <v>8615727</v>
      </c>
      <c r="E70">
        <f>E32</f>
        <v>8244987</v>
      </c>
    </row>
    <row r="71" spans="1:5" x14ac:dyDescent="0.3">
      <c r="C71" t="s">
        <v>232</v>
      </c>
      <c r="D71">
        <f>D38+D32</f>
        <v>13167408</v>
      </c>
      <c r="E71">
        <f>E70+E68</f>
        <v>11819897</v>
      </c>
    </row>
    <row r="72" spans="1:5" ht="14.5" x14ac:dyDescent="0.35">
      <c r="A72" s="6"/>
      <c r="B72" s="7" t="s">
        <v>233</v>
      </c>
      <c r="C72" s="7"/>
      <c r="D72" s="30">
        <f>D70/D71</f>
        <v>0.65432217183518582</v>
      </c>
      <c r="E72" s="30">
        <f>E70/E71</f>
        <v>0.69755150996662663</v>
      </c>
    </row>
    <row r="73" spans="1:5" x14ac:dyDescent="0.3">
      <c r="C73" t="s">
        <v>229</v>
      </c>
      <c r="D73">
        <f>D70</f>
        <v>8615727</v>
      </c>
      <c r="E73">
        <f>E70</f>
        <v>8244987</v>
      </c>
    </row>
    <row r="74" spans="1:5" x14ac:dyDescent="0.3">
      <c r="C74" t="s">
        <v>32</v>
      </c>
      <c r="D74">
        <f>D45</f>
        <v>1628802</v>
      </c>
      <c r="E74">
        <f>E45</f>
        <v>1794999</v>
      </c>
    </row>
    <row r="75" spans="1:5" ht="14.5" x14ac:dyDescent="0.35">
      <c r="A75" s="6"/>
      <c r="B75" s="7" t="s">
        <v>234</v>
      </c>
      <c r="C75" s="7"/>
      <c r="D75" s="49">
        <f>D73/D74</f>
        <v>5.2896097868249177</v>
      </c>
      <c r="E75" s="49">
        <f>E73/E74</f>
        <v>4.5933100798384849</v>
      </c>
    </row>
    <row r="76" spans="1:5" x14ac:dyDescent="0.3">
      <c r="C76" t="s">
        <v>32</v>
      </c>
      <c r="D76">
        <f>D74</f>
        <v>1628802</v>
      </c>
      <c r="E76">
        <f>E74</f>
        <v>1794999</v>
      </c>
    </row>
    <row r="77" spans="1:5" x14ac:dyDescent="0.3">
      <c r="C77" t="s">
        <v>21</v>
      </c>
      <c r="D77">
        <f>D10</f>
        <v>-837937</v>
      </c>
      <c r="E77">
        <f>E10</f>
        <v>-953013</v>
      </c>
    </row>
    <row r="78" spans="1:5" ht="14.5" x14ac:dyDescent="0.35">
      <c r="A78" s="6"/>
      <c r="B78" s="7" t="s">
        <v>235</v>
      </c>
      <c r="C78" s="7"/>
      <c r="D78" s="49">
        <f>D76/-D77</f>
        <v>1.943823939031216</v>
      </c>
      <c r="E78" s="7">
        <f>E76/-E77</f>
        <v>1.8834989659112731</v>
      </c>
    </row>
    <row r="80" spans="1:5" ht="14.5" x14ac:dyDescent="0.35">
      <c r="A80" s="5" t="s">
        <v>236</v>
      </c>
    </row>
    <row r="81" spans="3:19" x14ac:dyDescent="0.3">
      <c r="C81" t="s">
        <v>35</v>
      </c>
      <c r="D81">
        <f>D22</f>
        <v>4095971</v>
      </c>
      <c r="E81">
        <f>E22</f>
        <v>3312461</v>
      </c>
    </row>
    <row r="82" spans="3:19" x14ac:dyDescent="0.3">
      <c r="C82" t="s">
        <v>244</v>
      </c>
      <c r="D82">
        <f>D31</f>
        <v>6498583</v>
      </c>
      <c r="E82">
        <f>E31</f>
        <v>6639903</v>
      </c>
    </row>
    <row r="83" spans="3:19" ht="14.5" x14ac:dyDescent="0.35">
      <c r="C83" s="7" t="s">
        <v>245</v>
      </c>
      <c r="D83" s="7">
        <f>D81/D82</f>
        <v>0.63028678713497999</v>
      </c>
      <c r="E83" s="7">
        <f>E81/E82</f>
        <v>0.49887189617077238</v>
      </c>
    </row>
    <row r="84" spans="3:19" x14ac:dyDescent="0.3">
      <c r="C84" t="s">
        <v>247</v>
      </c>
      <c r="D84" s="48">
        <f>D81-D20</f>
        <v>3992358</v>
      </c>
      <c r="E84" s="48">
        <f>E81-E20</f>
        <v>3270360</v>
      </c>
    </row>
    <row r="85" spans="3:19" x14ac:dyDescent="0.3">
      <c r="C85" t="s">
        <v>248</v>
      </c>
      <c r="D85">
        <f>D31</f>
        <v>6498583</v>
      </c>
      <c r="E85">
        <f>E31</f>
        <v>6639903</v>
      </c>
      <c r="S85" t="e">
        <f>S83/Zain!D77S84</f>
        <v>#NAME?</v>
      </c>
    </row>
    <row r="86" spans="3:19" ht="14.5" x14ac:dyDescent="0.35">
      <c r="C86" s="7" t="s">
        <v>249</v>
      </c>
      <c r="D86" s="7">
        <f>D84/D85</f>
        <v>0.61434284981818343</v>
      </c>
      <c r="E86" s="7">
        <f>E84/E85</f>
        <v>0.49253129149627639</v>
      </c>
    </row>
    <row r="87" spans="3:19" x14ac:dyDescent="0.3">
      <c r="C87" t="s">
        <v>252</v>
      </c>
      <c r="E87">
        <f>(D19+E19)/2</f>
        <v>1100709.5</v>
      </c>
    </row>
    <row r="88" spans="3:19" x14ac:dyDescent="0.3">
      <c r="C88" t="s">
        <v>5</v>
      </c>
      <c r="E88">
        <f>E3</f>
        <v>6926652</v>
      </c>
    </row>
    <row r="89" spans="3:19" ht="14.5" x14ac:dyDescent="0.35">
      <c r="C89" s="7" t="s">
        <v>253</v>
      </c>
      <c r="D89" s="7"/>
      <c r="E89" s="7">
        <f>E87/E88*365</f>
        <v>58.001898680632429</v>
      </c>
    </row>
    <row r="90" spans="3:19" x14ac:dyDescent="0.3">
      <c r="C90" t="s">
        <v>255</v>
      </c>
      <c r="E90">
        <f>(D20+E20)/2</f>
        <v>72857</v>
      </c>
    </row>
    <row r="91" spans="3:19" x14ac:dyDescent="0.3">
      <c r="C91" t="s">
        <v>256</v>
      </c>
      <c r="E91">
        <f>-E4</f>
        <v>2525984</v>
      </c>
    </row>
    <row r="92" spans="3:19" ht="14.5" x14ac:dyDescent="0.35">
      <c r="C92" s="7" t="s">
        <v>257</v>
      </c>
      <c r="D92" s="7"/>
      <c r="E92" s="7">
        <f>E90/E91*365</f>
        <v>10.52770128393529</v>
      </c>
    </row>
    <row r="93" spans="3:19" x14ac:dyDescent="0.3">
      <c r="C93" t="s">
        <v>258</v>
      </c>
      <c r="E93">
        <f>(E28+D28)/2</f>
        <v>499900</v>
      </c>
    </row>
    <row r="94" spans="3:19" x14ac:dyDescent="0.3">
      <c r="C94" t="s">
        <v>256</v>
      </c>
      <c r="E94">
        <f>E91</f>
        <v>2525984</v>
      </c>
    </row>
    <row r="95" spans="3:19" ht="14.5" x14ac:dyDescent="0.35">
      <c r="C95" s="7" t="s">
        <v>259</v>
      </c>
      <c r="D95" s="7"/>
      <c r="E95" s="7">
        <f>E93/E94*365</f>
        <v>72.234622230386265</v>
      </c>
    </row>
    <row r="96" spans="3:19" x14ac:dyDescent="0.3">
      <c r="C96" t="s">
        <v>253</v>
      </c>
      <c r="E96">
        <f>E89</f>
        <v>58.001898680632429</v>
      </c>
    </row>
    <row r="97" spans="3:5" x14ac:dyDescent="0.3">
      <c r="C97" t="s">
        <v>257</v>
      </c>
      <c r="E97">
        <f>E92</f>
        <v>10.52770128393529</v>
      </c>
    </row>
    <row r="98" spans="3:5" x14ac:dyDescent="0.3">
      <c r="C98" t="s">
        <v>259</v>
      </c>
      <c r="E98">
        <f>E95</f>
        <v>72.234622230386265</v>
      </c>
    </row>
    <row r="99" spans="3:5" ht="14.5" x14ac:dyDescent="0.35">
      <c r="C99" s="7" t="s">
        <v>260</v>
      </c>
      <c r="D99" s="7"/>
      <c r="E99" s="7">
        <f>E96+E97-E98</f>
        <v>-3.7050222658185419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86582-CB8F-492F-8573-497074132B42}">
  <dimension ref="A2:F24"/>
  <sheetViews>
    <sheetView zoomScale="110" zoomScaleNormal="110" workbookViewId="0">
      <pane ySplit="2" topLeftCell="A3" activePane="bottomLeft" state="frozen"/>
      <selection pane="bottomLeft"/>
    </sheetView>
  </sheetViews>
  <sheetFormatPr defaultColWidth="9.09765625" defaultRowHeight="14.5" x14ac:dyDescent="0.35"/>
  <cols>
    <col min="1" max="2" width="1.69921875" style="41" customWidth="1"/>
    <col min="3" max="3" width="33.296875" style="41" customWidth="1"/>
    <col min="4" max="5" width="9.09765625" style="41"/>
    <col min="6" max="6" width="35.296875" style="41" customWidth="1"/>
    <col min="7" max="16384" width="9.09765625" style="41"/>
  </cols>
  <sheetData>
    <row r="2" spans="1:6" x14ac:dyDescent="0.35">
      <c r="A2" s="40" t="s">
        <v>193</v>
      </c>
      <c r="D2" s="42" t="s">
        <v>270</v>
      </c>
      <c r="E2" s="42" t="s">
        <v>271</v>
      </c>
      <c r="F2" s="41" t="s">
        <v>196</v>
      </c>
    </row>
    <row r="3" spans="1:6" x14ac:dyDescent="0.35">
      <c r="C3" s="41" t="s">
        <v>192</v>
      </c>
      <c r="D3" s="43"/>
      <c r="E3" s="43"/>
    </row>
    <row r="4" spans="1:6" x14ac:dyDescent="0.35">
      <c r="C4" s="41" t="s">
        <v>197</v>
      </c>
      <c r="D4" s="43"/>
      <c r="E4" s="43"/>
    </row>
    <row r="5" spans="1:6" x14ac:dyDescent="0.35">
      <c r="C5" s="41" t="s">
        <v>198</v>
      </c>
      <c r="D5" s="43"/>
      <c r="E5" s="43"/>
    </row>
    <row r="6" spans="1:6" x14ac:dyDescent="0.35">
      <c r="C6" s="41" t="s">
        <v>199</v>
      </c>
      <c r="D6" s="43"/>
      <c r="E6" s="43"/>
    </row>
    <row r="8" spans="1:6" x14ac:dyDescent="0.35">
      <c r="A8" s="40" t="s">
        <v>202</v>
      </c>
    </row>
    <row r="9" spans="1:6" x14ac:dyDescent="0.35">
      <c r="C9" s="41" t="s">
        <v>209</v>
      </c>
      <c r="D9" s="43"/>
      <c r="E9" s="43"/>
    </row>
    <row r="10" spans="1:6" x14ac:dyDescent="0.35">
      <c r="C10" s="41" t="s">
        <v>210</v>
      </c>
      <c r="D10" s="43"/>
      <c r="E10" s="43"/>
    </row>
    <row r="11" spans="1:6" x14ac:dyDescent="0.35">
      <c r="C11" s="41" t="s">
        <v>211</v>
      </c>
      <c r="D11" s="43"/>
      <c r="E11" s="43"/>
    </row>
    <row r="13" spans="1:6" x14ac:dyDescent="0.35">
      <c r="A13" s="44" t="s">
        <v>237</v>
      </c>
    </row>
    <row r="14" spans="1:6" x14ac:dyDescent="0.35">
      <c r="C14" s="41" t="s">
        <v>238</v>
      </c>
      <c r="D14" s="43"/>
      <c r="E14" s="43"/>
    </row>
    <row r="15" spans="1:6" x14ac:dyDescent="0.35">
      <c r="C15" s="41" t="s">
        <v>239</v>
      </c>
      <c r="D15" s="43"/>
      <c r="E15" s="43"/>
    </row>
    <row r="16" spans="1:6" x14ac:dyDescent="0.35">
      <c r="C16" s="41" t="s">
        <v>240</v>
      </c>
      <c r="D16" s="50"/>
      <c r="E16" s="51"/>
    </row>
    <row r="17" spans="2:5" x14ac:dyDescent="0.35">
      <c r="C17" s="41" t="s">
        <v>243</v>
      </c>
      <c r="D17" s="50"/>
      <c r="E17" s="51"/>
    </row>
    <row r="18" spans="2:5" x14ac:dyDescent="0.35">
      <c r="B18" s="5" t="s">
        <v>250</v>
      </c>
    </row>
    <row r="19" spans="2:5" x14ac:dyDescent="0.35">
      <c r="C19" t="s">
        <v>245</v>
      </c>
    </row>
    <row r="20" spans="2:5" x14ac:dyDescent="0.35">
      <c r="C20" s="6" t="s">
        <v>249</v>
      </c>
    </row>
    <row r="21" spans="2:5" x14ac:dyDescent="0.35">
      <c r="C21" t="s">
        <v>253</v>
      </c>
    </row>
    <row r="22" spans="2:5" x14ac:dyDescent="0.35">
      <c r="C22" t="s">
        <v>257</v>
      </c>
    </row>
    <row r="23" spans="2:5" x14ac:dyDescent="0.35">
      <c r="C23" t="s">
        <v>259</v>
      </c>
    </row>
    <row r="24" spans="2:5" x14ac:dyDescent="0.35">
      <c r="C24" s="6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A0D5-A61C-480A-909F-CC396A0AD23A}">
  <dimension ref="A1:AC63"/>
  <sheetViews>
    <sheetView tabSelected="1" zoomScale="87" zoomScaleNormal="87" workbookViewId="0">
      <pane xSplit="3" ySplit="4" topLeftCell="H5" activePane="bottomRight" state="frozen"/>
      <selection pane="topRight"/>
      <selection pane="bottomLeft"/>
      <selection pane="bottomRight"/>
    </sheetView>
  </sheetViews>
  <sheetFormatPr defaultRowHeight="13" outlineLevelCol="1" x14ac:dyDescent="0.3"/>
  <cols>
    <col min="1" max="2" width="1.69921875" customWidth="1"/>
    <col min="3" max="3" width="19.3984375" bestFit="1" customWidth="1"/>
    <col min="4" max="4" width="10.296875" bestFit="1" customWidth="1"/>
    <col min="5" max="19" width="9.296875" customWidth="1" outlineLevel="1"/>
    <col min="20" max="20" width="12.796875" customWidth="1"/>
    <col min="21" max="23" width="1.69921875" customWidth="1"/>
    <col min="24" max="24" width="25" customWidth="1"/>
    <col min="25" max="25" width="9.8984375" bestFit="1" customWidth="1"/>
  </cols>
  <sheetData>
    <row r="1" spans="1:26" ht="11" customHeight="1" thickBot="1" x14ac:dyDescent="0.5">
      <c r="A1" s="58" t="s">
        <v>288</v>
      </c>
      <c r="B1" s="58"/>
      <c r="C1" s="58"/>
    </row>
    <row r="2" spans="1:26" ht="13.5" thickTop="1" x14ac:dyDescent="0.3"/>
    <row r="3" spans="1:26" ht="6.5" customHeight="1" x14ac:dyDescent="0.3"/>
    <row r="4" spans="1:26" ht="12.5" customHeight="1" thickBot="1" x14ac:dyDescent="0.45">
      <c r="A4" s="53" t="s">
        <v>1</v>
      </c>
      <c r="B4" s="53"/>
      <c r="C4" s="53"/>
      <c r="D4" s="55">
        <v>42735</v>
      </c>
      <c r="E4" s="56">
        <v>1</v>
      </c>
      <c r="F4" s="56">
        <f>E4+1</f>
        <v>2</v>
      </c>
      <c r="G4" s="56">
        <f t="shared" ref="G4:S4" si="0">F4+1</f>
        <v>3</v>
      </c>
      <c r="H4" s="56">
        <f t="shared" si="0"/>
        <v>4</v>
      </c>
      <c r="I4" s="56">
        <f t="shared" si="0"/>
        <v>5</v>
      </c>
      <c r="J4" s="56">
        <f t="shared" si="0"/>
        <v>6</v>
      </c>
      <c r="K4" s="56">
        <f t="shared" si="0"/>
        <v>7</v>
      </c>
      <c r="L4" s="56">
        <f t="shared" si="0"/>
        <v>8</v>
      </c>
      <c r="M4" s="56">
        <f t="shared" si="0"/>
        <v>9</v>
      </c>
      <c r="N4" s="56">
        <f t="shared" si="0"/>
        <v>10</v>
      </c>
      <c r="O4" s="56">
        <f t="shared" si="0"/>
        <v>11</v>
      </c>
      <c r="P4" s="56">
        <f t="shared" si="0"/>
        <v>12</v>
      </c>
      <c r="Q4" s="56">
        <f t="shared" si="0"/>
        <v>13</v>
      </c>
      <c r="R4" s="56">
        <f t="shared" si="0"/>
        <v>14</v>
      </c>
      <c r="S4" s="56">
        <f t="shared" si="0"/>
        <v>15</v>
      </c>
      <c r="T4" s="55">
        <v>43100</v>
      </c>
      <c r="V4" s="53" t="s">
        <v>81</v>
      </c>
      <c r="W4" s="53"/>
      <c r="X4" s="53"/>
      <c r="Y4" s="52">
        <f>T4</f>
        <v>43100</v>
      </c>
    </row>
    <row r="5" spans="1:26" ht="13.5" thickTop="1" x14ac:dyDescent="0.3">
      <c r="C5" t="s">
        <v>6</v>
      </c>
      <c r="D5">
        <v>20</v>
      </c>
      <c r="E5">
        <v>-14</v>
      </c>
      <c r="F5">
        <v>-13</v>
      </c>
      <c r="G5">
        <v>58</v>
      </c>
      <c r="H5">
        <v>50</v>
      </c>
      <c r="I5">
        <v>-78</v>
      </c>
      <c r="J5">
        <v>12</v>
      </c>
      <c r="K5">
        <v>-7</v>
      </c>
      <c r="L5">
        <v>-1</v>
      </c>
      <c r="M5">
        <v>-35</v>
      </c>
      <c r="O5">
        <v>30</v>
      </c>
      <c r="P5">
        <v>20</v>
      </c>
      <c r="Q5">
        <v>-20</v>
      </c>
      <c r="R5">
        <v>-1</v>
      </c>
      <c r="S5">
        <v>-0.2</v>
      </c>
      <c r="T5">
        <f>SUM(D5:S5)</f>
        <v>20.8</v>
      </c>
      <c r="X5" t="s">
        <v>278</v>
      </c>
      <c r="Y5">
        <f>T28</f>
        <v>0.8</v>
      </c>
    </row>
    <row r="6" spans="1:26" x14ac:dyDescent="0.3">
      <c r="C6" t="s">
        <v>276</v>
      </c>
      <c r="D6">
        <v>10</v>
      </c>
      <c r="H6">
        <v>15</v>
      </c>
      <c r="J6">
        <v>-12</v>
      </c>
      <c r="T6">
        <f t="shared" ref="T6:T17" si="1">SUM(D6:S6)</f>
        <v>13</v>
      </c>
      <c r="X6" t="s">
        <v>285</v>
      </c>
      <c r="Y6">
        <f>T25 * -1</f>
        <v>10</v>
      </c>
    </row>
    <row r="7" spans="1:26" x14ac:dyDescent="0.3">
      <c r="C7" t="s">
        <v>8</v>
      </c>
      <c r="D7">
        <v>5</v>
      </c>
      <c r="E7">
        <v>14</v>
      </c>
      <c r="F7">
        <v>95</v>
      </c>
      <c r="G7">
        <v>-42</v>
      </c>
      <c r="H7">
        <v>-58</v>
      </c>
      <c r="T7">
        <f t="shared" si="1"/>
        <v>14</v>
      </c>
      <c r="X7" t="s">
        <v>157</v>
      </c>
      <c r="Y7">
        <f>D6 - T6</f>
        <v>-3</v>
      </c>
      <c r="Z7" t="s">
        <v>357</v>
      </c>
    </row>
    <row r="8" spans="1:26" x14ac:dyDescent="0.3">
      <c r="C8" t="s">
        <v>9</v>
      </c>
      <c r="D8">
        <v>200</v>
      </c>
      <c r="M8">
        <v>35</v>
      </c>
      <c r="N8">
        <v>-10</v>
      </c>
      <c r="T8">
        <f t="shared" si="1"/>
        <v>225</v>
      </c>
      <c r="X8" t="s">
        <v>156</v>
      </c>
      <c r="Y8">
        <f>D7 - T7</f>
        <v>-9</v>
      </c>
      <c r="Z8" t="s">
        <v>357</v>
      </c>
    </row>
    <row r="9" spans="1:26" x14ac:dyDescent="0.3">
      <c r="C9" t="s">
        <v>69</v>
      </c>
      <c r="D9">
        <v>107</v>
      </c>
      <c r="T9">
        <f t="shared" si="1"/>
        <v>107</v>
      </c>
      <c r="X9" t="s">
        <v>298</v>
      </c>
      <c r="Y9">
        <f>T11-D11</f>
        <v>4</v>
      </c>
      <c r="Z9" t="s">
        <v>358</v>
      </c>
    </row>
    <row r="10" spans="1:26" x14ac:dyDescent="0.3">
      <c r="B10" s="54" t="s">
        <v>10</v>
      </c>
      <c r="C10" s="54"/>
      <c r="D10" s="54">
        <f t="shared" ref="D10:S10" si="2">SUM(D5:D9)</f>
        <v>342</v>
      </c>
      <c r="E10" s="54">
        <f t="shared" si="2"/>
        <v>0</v>
      </c>
      <c r="F10" s="54">
        <f t="shared" si="2"/>
        <v>82</v>
      </c>
      <c r="G10" s="54">
        <f t="shared" si="2"/>
        <v>16</v>
      </c>
      <c r="H10" s="54">
        <f t="shared" si="2"/>
        <v>7</v>
      </c>
      <c r="I10" s="54">
        <f t="shared" si="2"/>
        <v>-78</v>
      </c>
      <c r="J10" s="54">
        <f t="shared" si="2"/>
        <v>0</v>
      </c>
      <c r="K10" s="54">
        <f t="shared" si="2"/>
        <v>-7</v>
      </c>
      <c r="L10" s="54">
        <f t="shared" si="2"/>
        <v>-1</v>
      </c>
      <c r="M10" s="54">
        <f t="shared" si="2"/>
        <v>0</v>
      </c>
      <c r="N10" s="54">
        <f t="shared" si="2"/>
        <v>-10</v>
      </c>
      <c r="O10" s="54">
        <f t="shared" si="2"/>
        <v>30</v>
      </c>
      <c r="P10" s="54">
        <f t="shared" si="2"/>
        <v>20</v>
      </c>
      <c r="Q10" s="54">
        <f t="shared" si="2"/>
        <v>-20</v>
      </c>
      <c r="R10" s="54">
        <f t="shared" si="2"/>
        <v>-1</v>
      </c>
      <c r="S10" s="54">
        <f t="shared" si="2"/>
        <v>-0.2</v>
      </c>
      <c r="T10" s="54">
        <f t="shared" si="1"/>
        <v>379.8</v>
      </c>
      <c r="X10" t="s">
        <v>325</v>
      </c>
      <c r="Y10">
        <f>T12-D12</f>
        <v>4</v>
      </c>
      <c r="Z10" t="s">
        <v>358</v>
      </c>
    </row>
    <row r="11" spans="1:26" x14ac:dyDescent="0.3">
      <c r="C11" t="s">
        <v>277</v>
      </c>
      <c r="D11">
        <v>4</v>
      </c>
      <c r="F11">
        <v>82</v>
      </c>
      <c r="I11">
        <v>-78</v>
      </c>
      <c r="T11">
        <f t="shared" si="1"/>
        <v>8</v>
      </c>
      <c r="W11" s="57" t="s">
        <v>85</v>
      </c>
      <c r="X11" s="57"/>
      <c r="Y11" s="57">
        <f>SUM(Y5:Y10)</f>
        <v>6.8000000000000007</v>
      </c>
    </row>
    <row r="12" spans="1:26" x14ac:dyDescent="0.3">
      <c r="C12" t="s">
        <v>280</v>
      </c>
      <c r="D12">
        <v>5</v>
      </c>
      <c r="L12">
        <v>4</v>
      </c>
      <c r="T12">
        <f t="shared" si="1"/>
        <v>9</v>
      </c>
      <c r="X12" t="s">
        <v>283</v>
      </c>
      <c r="Y12" s="9">
        <v>-35</v>
      </c>
      <c r="Z12" t="s">
        <v>357</v>
      </c>
    </row>
    <row r="13" spans="1:26" x14ac:dyDescent="0.3">
      <c r="C13" t="s">
        <v>281</v>
      </c>
      <c r="D13">
        <v>30</v>
      </c>
      <c r="Q13">
        <v>-20</v>
      </c>
      <c r="T13">
        <f t="shared" si="1"/>
        <v>10</v>
      </c>
      <c r="X13" t="s">
        <v>284</v>
      </c>
      <c r="Y13">
        <v>0</v>
      </c>
      <c r="Z13" s="13"/>
    </row>
    <row r="14" spans="1:26" x14ac:dyDescent="0.3">
      <c r="C14" t="s">
        <v>272</v>
      </c>
      <c r="D14">
        <v>120</v>
      </c>
      <c r="O14">
        <v>30</v>
      </c>
      <c r="T14">
        <f t="shared" si="1"/>
        <v>150</v>
      </c>
      <c r="W14" s="57" t="s">
        <v>286</v>
      </c>
      <c r="X14" s="57"/>
      <c r="Y14" s="57">
        <f>SUM(Y12:Y13)</f>
        <v>-35</v>
      </c>
    </row>
    <row r="15" spans="1:26" x14ac:dyDescent="0.3">
      <c r="C15" t="s">
        <v>273</v>
      </c>
      <c r="D15">
        <v>150</v>
      </c>
      <c r="P15">
        <v>20</v>
      </c>
      <c r="T15">
        <f t="shared" si="1"/>
        <v>170</v>
      </c>
      <c r="X15" t="s">
        <v>326</v>
      </c>
      <c r="Y15">
        <f>T13-D13</f>
        <v>-20</v>
      </c>
      <c r="Z15" t="s">
        <v>358</v>
      </c>
    </row>
    <row r="16" spans="1:26" x14ac:dyDescent="0.3">
      <c r="C16" t="s">
        <v>225</v>
      </c>
      <c r="D16">
        <v>33</v>
      </c>
      <c r="E16">
        <f>E30</f>
        <v>0</v>
      </c>
      <c r="F16">
        <f t="shared" ref="F16:S16" si="3">F30</f>
        <v>0</v>
      </c>
      <c r="G16">
        <f t="shared" si="3"/>
        <v>16</v>
      </c>
      <c r="H16" s="9">
        <f t="shared" si="3"/>
        <v>7</v>
      </c>
      <c r="I16">
        <f t="shared" si="3"/>
        <v>0</v>
      </c>
      <c r="J16">
        <f t="shared" si="3"/>
        <v>0</v>
      </c>
      <c r="K16">
        <f t="shared" si="3"/>
        <v>-7</v>
      </c>
      <c r="L16">
        <f t="shared" si="3"/>
        <v>-5</v>
      </c>
      <c r="M16">
        <f t="shared" si="3"/>
        <v>0</v>
      </c>
      <c r="N16">
        <f t="shared" si="3"/>
        <v>-10</v>
      </c>
      <c r="O16">
        <f t="shared" si="3"/>
        <v>0</v>
      </c>
      <c r="P16">
        <f t="shared" si="3"/>
        <v>0</v>
      </c>
      <c r="Q16">
        <f t="shared" si="3"/>
        <v>0</v>
      </c>
      <c r="R16">
        <f t="shared" si="3"/>
        <v>-1</v>
      </c>
      <c r="S16">
        <f t="shared" si="3"/>
        <v>-0.2</v>
      </c>
      <c r="T16">
        <f t="shared" si="1"/>
        <v>32.799999999999997</v>
      </c>
      <c r="X16" t="s">
        <v>327</v>
      </c>
      <c r="Y16">
        <f>T14-D14</f>
        <v>30</v>
      </c>
      <c r="Z16" t="s">
        <v>358</v>
      </c>
    </row>
    <row r="17" spans="1:29" x14ac:dyDescent="0.3">
      <c r="B17" s="54" t="s">
        <v>16</v>
      </c>
      <c r="C17" s="54"/>
      <c r="D17" s="54">
        <f t="shared" ref="D17:S17" si="4">SUM(D11:D16)</f>
        <v>342</v>
      </c>
      <c r="E17" s="54">
        <f t="shared" si="4"/>
        <v>0</v>
      </c>
      <c r="F17" s="54">
        <f t="shared" si="4"/>
        <v>82</v>
      </c>
      <c r="G17" s="54">
        <f t="shared" si="4"/>
        <v>16</v>
      </c>
      <c r="H17" s="54">
        <f t="shared" si="4"/>
        <v>7</v>
      </c>
      <c r="I17" s="54">
        <f t="shared" si="4"/>
        <v>-78</v>
      </c>
      <c r="J17" s="54">
        <f t="shared" si="4"/>
        <v>0</v>
      </c>
      <c r="K17" s="54">
        <f t="shared" si="4"/>
        <v>-7</v>
      </c>
      <c r="L17" s="54">
        <f t="shared" si="4"/>
        <v>-1</v>
      </c>
      <c r="M17" s="54">
        <f t="shared" si="4"/>
        <v>0</v>
      </c>
      <c r="N17" s="54">
        <f t="shared" si="4"/>
        <v>-10</v>
      </c>
      <c r="O17" s="54">
        <f t="shared" si="4"/>
        <v>30</v>
      </c>
      <c r="P17" s="54">
        <f t="shared" si="4"/>
        <v>20</v>
      </c>
      <c r="Q17" s="54">
        <f t="shared" si="4"/>
        <v>-20</v>
      </c>
      <c r="R17" s="54">
        <f t="shared" si="4"/>
        <v>-1</v>
      </c>
      <c r="S17" s="54">
        <f t="shared" si="4"/>
        <v>-0.2</v>
      </c>
      <c r="T17" s="54">
        <f t="shared" si="1"/>
        <v>379.8</v>
      </c>
      <c r="X17" t="s">
        <v>182</v>
      </c>
      <c r="Y17">
        <f>T15-D15</f>
        <v>20</v>
      </c>
      <c r="Z17" t="s">
        <v>358</v>
      </c>
    </row>
    <row r="18" spans="1:29" x14ac:dyDescent="0.3">
      <c r="X18" t="s">
        <v>282</v>
      </c>
      <c r="Y18">
        <f>T29</f>
        <v>-1</v>
      </c>
      <c r="Z18" t="s">
        <v>358</v>
      </c>
    </row>
    <row r="19" spans="1:29" x14ac:dyDescent="0.3">
      <c r="C19" t="s">
        <v>4</v>
      </c>
      <c r="D19">
        <f t="shared" ref="D19:T19" si="5">D10-D17</f>
        <v>0</v>
      </c>
      <c r="E19">
        <f t="shared" si="5"/>
        <v>0</v>
      </c>
      <c r="F19">
        <f t="shared" si="5"/>
        <v>0</v>
      </c>
      <c r="G19">
        <f t="shared" si="5"/>
        <v>0</v>
      </c>
      <c r="H19">
        <f t="shared" si="5"/>
        <v>0</v>
      </c>
      <c r="I19">
        <f t="shared" si="5"/>
        <v>0</v>
      </c>
      <c r="J19">
        <f t="shared" si="5"/>
        <v>0</v>
      </c>
      <c r="K19">
        <f t="shared" si="5"/>
        <v>0</v>
      </c>
      <c r="L19">
        <f t="shared" si="5"/>
        <v>0</v>
      </c>
      <c r="M19">
        <f t="shared" si="5"/>
        <v>0</v>
      </c>
      <c r="N19">
        <f t="shared" si="5"/>
        <v>0</v>
      </c>
      <c r="O19">
        <f t="shared" si="5"/>
        <v>0</v>
      </c>
      <c r="P19">
        <f t="shared" si="5"/>
        <v>0</v>
      </c>
      <c r="Q19">
        <f t="shared" si="5"/>
        <v>0</v>
      </c>
      <c r="R19">
        <f t="shared" si="5"/>
        <v>0</v>
      </c>
      <c r="S19">
        <f t="shared" si="5"/>
        <v>0</v>
      </c>
      <c r="T19">
        <f t="shared" si="5"/>
        <v>0</v>
      </c>
      <c r="W19" s="57" t="s">
        <v>183</v>
      </c>
      <c r="X19" s="57"/>
      <c r="Y19" s="57">
        <f>SUM(Y15:Y18)</f>
        <v>29</v>
      </c>
    </row>
    <row r="21" spans="1:29" ht="17.5" thickBot="1" x14ac:dyDescent="0.45">
      <c r="A21" s="53" t="s">
        <v>0</v>
      </c>
      <c r="B21" s="53"/>
      <c r="C21" s="53"/>
      <c r="X21" t="s">
        <v>178</v>
      </c>
      <c r="Y21">
        <f>D5</f>
        <v>20</v>
      </c>
      <c r="Z21" t="s">
        <v>359</v>
      </c>
      <c r="AC21" t="str">
        <f ca="1">_xlfn.FORMULATEXT(Y21)</f>
        <v>=D5</v>
      </c>
    </row>
    <row r="22" spans="1:29" ht="13.5" thickTop="1" x14ac:dyDescent="0.3">
      <c r="C22" t="s">
        <v>30</v>
      </c>
      <c r="D22">
        <v>100</v>
      </c>
      <c r="G22">
        <v>58</v>
      </c>
      <c r="H22">
        <v>65</v>
      </c>
      <c r="T22">
        <f>SUM(E22:S22)</f>
        <v>123</v>
      </c>
      <c r="X22" t="s">
        <v>177</v>
      </c>
      <c r="Y22">
        <f>Y11+Y14+Y19</f>
        <v>0.80000000000000071</v>
      </c>
      <c r="Z22" t="s">
        <v>360</v>
      </c>
      <c r="AC22" t="str">
        <f t="shared" ref="AC22:AC23" ca="1" si="6">_xlfn.FORMULATEXT(Y22)</f>
        <v>=Y11+Y14+Y19</v>
      </c>
    </row>
    <row r="23" spans="1:29" x14ac:dyDescent="0.3">
      <c r="C23" t="s">
        <v>274</v>
      </c>
      <c r="D23">
        <v>-83</v>
      </c>
      <c r="G23">
        <v>-42</v>
      </c>
      <c r="H23">
        <v>-58</v>
      </c>
      <c r="T23">
        <f t="shared" ref="T23:T30" si="7">SUM(E23:S23)</f>
        <v>-100</v>
      </c>
      <c r="X23" s="54" t="s">
        <v>287</v>
      </c>
      <c r="Y23" s="54">
        <f>SUM(Y21:Y22)</f>
        <v>20.8</v>
      </c>
      <c r="AC23" t="str">
        <f t="shared" ca="1" si="6"/>
        <v>=SUM(Y21:Y22)</v>
      </c>
    </row>
    <row r="24" spans="1:29" x14ac:dyDescent="0.3">
      <c r="C24" t="s">
        <v>19</v>
      </c>
      <c r="D24">
        <v>-8</v>
      </c>
      <c r="K24">
        <v>-7</v>
      </c>
      <c r="T24">
        <f t="shared" si="7"/>
        <v>-7</v>
      </c>
    </row>
    <row r="25" spans="1:29" x14ac:dyDescent="0.3">
      <c r="C25" t="s">
        <v>20</v>
      </c>
      <c r="D25">
        <v>-5</v>
      </c>
      <c r="N25">
        <v>-10</v>
      </c>
      <c r="T25">
        <f t="shared" si="7"/>
        <v>-10</v>
      </c>
      <c r="X25" t="s">
        <v>4</v>
      </c>
      <c r="Y25" s="80">
        <f>Y23-T5</f>
        <v>0</v>
      </c>
    </row>
    <row r="26" spans="1:29" x14ac:dyDescent="0.3">
      <c r="C26" t="s">
        <v>275</v>
      </c>
      <c r="D26">
        <v>-3</v>
      </c>
      <c r="L26">
        <v>-5</v>
      </c>
      <c r="T26">
        <f t="shared" si="7"/>
        <v>-5</v>
      </c>
    </row>
    <row r="27" spans="1:29" x14ac:dyDescent="0.3">
      <c r="C27" t="s">
        <v>279</v>
      </c>
      <c r="D27">
        <v>-0.2</v>
      </c>
      <c r="S27">
        <v>-0.2</v>
      </c>
      <c r="T27">
        <f t="shared" si="7"/>
        <v>-0.2</v>
      </c>
    </row>
    <row r="28" spans="1:29" x14ac:dyDescent="0.3">
      <c r="B28" s="54" t="s">
        <v>135</v>
      </c>
      <c r="C28" s="54"/>
      <c r="D28" s="54">
        <f>SUM(D22:D27)</f>
        <v>0.8</v>
      </c>
      <c r="E28" s="54">
        <f t="shared" ref="E28:T28" si="8">SUM(E22:E27)</f>
        <v>0</v>
      </c>
      <c r="F28" s="54">
        <f>SUM(F22:F27)</f>
        <v>0</v>
      </c>
      <c r="G28" s="54">
        <f t="shared" si="8"/>
        <v>16</v>
      </c>
      <c r="H28" s="54">
        <f t="shared" si="8"/>
        <v>7</v>
      </c>
      <c r="I28" s="54">
        <f t="shared" si="8"/>
        <v>0</v>
      </c>
      <c r="J28" s="54">
        <f t="shared" si="8"/>
        <v>0</v>
      </c>
      <c r="K28" s="54">
        <f t="shared" si="8"/>
        <v>-7</v>
      </c>
      <c r="L28" s="54">
        <f t="shared" si="8"/>
        <v>-5</v>
      </c>
      <c r="M28" s="54">
        <f t="shared" si="8"/>
        <v>0</v>
      </c>
      <c r="N28" s="54">
        <f t="shared" si="8"/>
        <v>-10</v>
      </c>
      <c r="O28" s="54">
        <f t="shared" si="8"/>
        <v>0</v>
      </c>
      <c r="P28" s="54">
        <f t="shared" si="8"/>
        <v>0</v>
      </c>
      <c r="Q28" s="54">
        <f t="shared" si="8"/>
        <v>0</v>
      </c>
      <c r="R28" s="54">
        <f t="shared" si="8"/>
        <v>0</v>
      </c>
      <c r="S28" s="54">
        <f t="shared" si="8"/>
        <v>-0.2</v>
      </c>
      <c r="T28" s="54">
        <f t="shared" si="8"/>
        <v>0.8</v>
      </c>
    </row>
    <row r="29" spans="1:29" x14ac:dyDescent="0.3">
      <c r="C29" t="s">
        <v>24</v>
      </c>
      <c r="D29">
        <v>0</v>
      </c>
      <c r="R29">
        <v>-1</v>
      </c>
      <c r="T29">
        <f t="shared" si="7"/>
        <v>-1</v>
      </c>
    </row>
    <row r="30" spans="1:29" x14ac:dyDescent="0.3">
      <c r="B30" s="57" t="s">
        <v>25</v>
      </c>
      <c r="C30" s="57"/>
      <c r="D30" s="57">
        <f>SUM(D28:D29)</f>
        <v>0.8</v>
      </c>
      <c r="E30" s="57">
        <f t="shared" ref="E30:S30" si="9">SUM(E28:E29)</f>
        <v>0</v>
      </c>
      <c r="F30" s="57">
        <f t="shared" si="9"/>
        <v>0</v>
      </c>
      <c r="G30" s="57">
        <f t="shared" si="9"/>
        <v>16</v>
      </c>
      <c r="H30" s="57">
        <f t="shared" si="9"/>
        <v>7</v>
      </c>
      <c r="I30" s="57">
        <f t="shared" si="9"/>
        <v>0</v>
      </c>
      <c r="J30" s="57">
        <f t="shared" si="9"/>
        <v>0</v>
      </c>
      <c r="K30" s="57">
        <f t="shared" si="9"/>
        <v>-7</v>
      </c>
      <c r="L30" s="57">
        <f t="shared" si="9"/>
        <v>-5</v>
      </c>
      <c r="M30" s="57">
        <f t="shared" si="9"/>
        <v>0</v>
      </c>
      <c r="N30" s="57">
        <f t="shared" si="9"/>
        <v>-10</v>
      </c>
      <c r="O30" s="57">
        <f t="shared" si="9"/>
        <v>0</v>
      </c>
      <c r="P30" s="57">
        <f t="shared" si="9"/>
        <v>0</v>
      </c>
      <c r="Q30" s="57">
        <f t="shared" si="9"/>
        <v>0</v>
      </c>
      <c r="R30" s="57">
        <f t="shared" si="9"/>
        <v>-1</v>
      </c>
      <c r="S30" s="57">
        <f t="shared" si="9"/>
        <v>-0.2</v>
      </c>
      <c r="T30" s="57">
        <f t="shared" si="7"/>
        <v>-0.2</v>
      </c>
    </row>
    <row r="32" spans="1:29" ht="17.5" thickBot="1" x14ac:dyDescent="0.45">
      <c r="A32" s="53" t="s">
        <v>315</v>
      </c>
      <c r="B32" s="53"/>
      <c r="C32" s="53"/>
    </row>
    <row r="33" spans="1:20" ht="13.5" thickTop="1" x14ac:dyDescent="0.3">
      <c r="C33" t="s">
        <v>30</v>
      </c>
    </row>
    <row r="34" spans="1:20" x14ac:dyDescent="0.3">
      <c r="C34" t="s">
        <v>31</v>
      </c>
    </row>
    <row r="35" spans="1:20" x14ac:dyDescent="0.3">
      <c r="C35" t="s">
        <v>32</v>
      </c>
    </row>
    <row r="36" spans="1:20" x14ac:dyDescent="0.3">
      <c r="C36" t="s">
        <v>33</v>
      </c>
    </row>
    <row r="37" spans="1:20" x14ac:dyDescent="0.3">
      <c r="C37" t="s">
        <v>135</v>
      </c>
    </row>
    <row r="38" spans="1:20" x14ac:dyDescent="0.3">
      <c r="C38" t="s">
        <v>316</v>
      </c>
    </row>
    <row r="39" spans="1:20" x14ac:dyDescent="0.3">
      <c r="C39" t="s">
        <v>45</v>
      </c>
    </row>
    <row r="40" spans="1:20" x14ac:dyDescent="0.3">
      <c r="C40" t="s">
        <v>232</v>
      </c>
    </row>
    <row r="41" spans="1:20" x14ac:dyDescent="0.3">
      <c r="C41" t="s">
        <v>41</v>
      </c>
    </row>
    <row r="42" spans="1:20" x14ac:dyDescent="0.3">
      <c r="C42" t="s">
        <v>43</v>
      </c>
    </row>
    <row r="43" spans="1:20" ht="17.5" thickBot="1" x14ac:dyDescent="0.45">
      <c r="A43" s="53" t="s">
        <v>303</v>
      </c>
      <c r="B43" s="53"/>
      <c r="C43" s="53"/>
    </row>
    <row r="44" spans="1:20" ht="15.5" thickTop="1" thickBot="1" x14ac:dyDescent="0.4">
      <c r="B44" s="61" t="s">
        <v>191</v>
      </c>
      <c r="C44" s="61"/>
    </row>
    <row r="45" spans="1:20" x14ac:dyDescent="0.3">
      <c r="C45" t="s">
        <v>192</v>
      </c>
      <c r="D45" s="13"/>
      <c r="T45" s="13"/>
    </row>
    <row r="46" spans="1:20" x14ac:dyDescent="0.3">
      <c r="C46" t="s">
        <v>197</v>
      </c>
      <c r="D46" s="13"/>
      <c r="T46" s="13"/>
    </row>
    <row r="47" spans="1:20" x14ac:dyDescent="0.3">
      <c r="C47" t="s">
        <v>198</v>
      </c>
      <c r="D47" s="13"/>
      <c r="T47" s="13"/>
    </row>
    <row r="48" spans="1:20" x14ac:dyDescent="0.3">
      <c r="C48" t="s">
        <v>304</v>
      </c>
      <c r="D48" s="13"/>
      <c r="T48" s="13"/>
    </row>
    <row r="49" spans="2:20" ht="15" thickBot="1" x14ac:dyDescent="0.4">
      <c r="B49" s="61" t="s">
        <v>202</v>
      </c>
      <c r="C49" s="61"/>
    </row>
    <row r="50" spans="2:20" x14ac:dyDescent="0.3">
      <c r="C50" t="s">
        <v>306</v>
      </c>
      <c r="D50" s="13"/>
      <c r="T50" s="13"/>
    </row>
    <row r="51" spans="2:20" x14ac:dyDescent="0.3">
      <c r="C51" t="s">
        <v>307</v>
      </c>
      <c r="D51" s="13"/>
      <c r="T51" s="13"/>
    </row>
    <row r="52" spans="2:20" ht="15" thickBot="1" x14ac:dyDescent="0.4">
      <c r="B52" s="61" t="s">
        <v>308</v>
      </c>
      <c r="C52" s="61"/>
    </row>
    <row r="53" spans="2:20" x14ac:dyDescent="0.3">
      <c r="C53" t="s">
        <v>317</v>
      </c>
      <c r="D53" s="62"/>
      <c r="T53" s="62"/>
    </row>
    <row r="54" spans="2:20" x14ac:dyDescent="0.3">
      <c r="C54" t="s">
        <v>309</v>
      </c>
      <c r="D54" s="13"/>
      <c r="T54" s="13"/>
    </row>
    <row r="55" spans="2:20" x14ac:dyDescent="0.3">
      <c r="C55" t="s">
        <v>310</v>
      </c>
      <c r="D55" s="62"/>
      <c r="T55" s="62"/>
    </row>
    <row r="56" spans="2:20" ht="15" thickBot="1" x14ac:dyDescent="0.4">
      <c r="B56" s="61" t="s">
        <v>311</v>
      </c>
      <c r="C56" s="61"/>
    </row>
    <row r="57" spans="2:20" x14ac:dyDescent="0.3">
      <c r="C57" t="s">
        <v>245</v>
      </c>
      <c r="D57" s="62"/>
      <c r="T57" s="62"/>
    </row>
    <row r="58" spans="2:20" x14ac:dyDescent="0.3">
      <c r="C58" t="s">
        <v>249</v>
      </c>
      <c r="D58" s="62"/>
      <c r="T58" s="62"/>
    </row>
    <row r="59" spans="2:20" ht="15" thickBot="1" x14ac:dyDescent="0.4">
      <c r="B59" s="61" t="s">
        <v>312</v>
      </c>
      <c r="C59" s="61"/>
    </row>
    <row r="60" spans="2:20" x14ac:dyDescent="0.3">
      <c r="C60" t="s">
        <v>313</v>
      </c>
      <c r="D60" s="63"/>
      <c r="T60" s="63"/>
    </row>
    <row r="61" spans="2:20" x14ac:dyDescent="0.3">
      <c r="C61" t="s">
        <v>257</v>
      </c>
      <c r="D61" s="63"/>
      <c r="T61" s="63"/>
    </row>
    <row r="62" spans="2:20" x14ac:dyDescent="0.3">
      <c r="C62" t="s">
        <v>259</v>
      </c>
      <c r="D62" s="63"/>
      <c r="T62" s="63"/>
    </row>
    <row r="63" spans="2:20" x14ac:dyDescent="0.3">
      <c r="C63" t="s">
        <v>314</v>
      </c>
      <c r="D63" s="63"/>
      <c r="T63" s="63"/>
    </row>
  </sheetData>
  <conditionalFormatting sqref="Y25">
    <cfRule type="cellIs" dxfId="15" priority="5" operator="notEqual">
      <formula>0</formula>
    </cfRule>
    <cfRule type="cellIs" dxfId="14" priority="6" operator="equal">
      <formula>0</formula>
    </cfRule>
  </conditionalFormatting>
  <pageMargins left="0.7" right="0.7" top="0.75" bottom="0.75" header="0.3" footer="0.3"/>
  <ignoredErrors>
    <ignoredError sqref="D10:E10 T22:T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8F28-B9EE-4058-B5F3-2F8C81B84337}">
  <dimension ref="A1:G18"/>
  <sheetViews>
    <sheetView zoomScale="115" zoomScaleNormal="11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" x14ac:dyDescent="0.3"/>
  <cols>
    <col min="6" max="6" width="11.8984375" bestFit="1" customWidth="1"/>
  </cols>
  <sheetData>
    <row r="1" spans="1:7" ht="15.5" x14ac:dyDescent="0.35">
      <c r="A1" s="65" t="s">
        <v>321</v>
      </c>
      <c r="B1" s="65" t="s">
        <v>103</v>
      </c>
      <c r="C1" s="65" t="s">
        <v>104</v>
      </c>
      <c r="D1" s="65" t="s">
        <v>105</v>
      </c>
    </row>
    <row r="2" spans="1:7" x14ac:dyDescent="0.3">
      <c r="A2">
        <v>1</v>
      </c>
    </row>
    <row r="3" spans="1:7" x14ac:dyDescent="0.3">
      <c r="A3">
        <f t="shared" ref="A3:A16" si="0">A2+1</f>
        <v>2</v>
      </c>
    </row>
    <row r="4" spans="1:7" x14ac:dyDescent="0.3">
      <c r="A4">
        <f t="shared" si="0"/>
        <v>3</v>
      </c>
    </row>
    <row r="5" spans="1:7" x14ac:dyDescent="0.3">
      <c r="A5">
        <f t="shared" si="0"/>
        <v>4</v>
      </c>
    </row>
    <row r="6" spans="1:7" x14ac:dyDescent="0.3">
      <c r="A6">
        <f t="shared" si="0"/>
        <v>5</v>
      </c>
    </row>
    <row r="7" spans="1:7" x14ac:dyDescent="0.3">
      <c r="A7">
        <f t="shared" si="0"/>
        <v>6</v>
      </c>
    </row>
    <row r="8" spans="1:7" x14ac:dyDescent="0.3">
      <c r="A8">
        <f t="shared" si="0"/>
        <v>7</v>
      </c>
    </row>
    <row r="9" spans="1:7" x14ac:dyDescent="0.3">
      <c r="A9">
        <f t="shared" si="0"/>
        <v>8</v>
      </c>
    </row>
    <row r="10" spans="1:7" x14ac:dyDescent="0.3">
      <c r="A10">
        <f t="shared" si="0"/>
        <v>9</v>
      </c>
    </row>
    <row r="11" spans="1:7" x14ac:dyDescent="0.3">
      <c r="A11">
        <f t="shared" si="0"/>
        <v>10</v>
      </c>
    </row>
    <row r="12" spans="1:7" x14ac:dyDescent="0.3">
      <c r="A12">
        <f t="shared" si="0"/>
        <v>11</v>
      </c>
    </row>
    <row r="13" spans="1:7" x14ac:dyDescent="0.3">
      <c r="A13">
        <f t="shared" si="0"/>
        <v>12</v>
      </c>
    </row>
    <row r="14" spans="1:7" x14ac:dyDescent="0.3">
      <c r="A14">
        <f t="shared" si="0"/>
        <v>13</v>
      </c>
    </row>
    <row r="15" spans="1:7" x14ac:dyDescent="0.3">
      <c r="A15">
        <f t="shared" si="0"/>
        <v>14</v>
      </c>
    </row>
    <row r="16" spans="1:7" x14ac:dyDescent="0.3">
      <c r="A16">
        <f t="shared" si="0"/>
        <v>15</v>
      </c>
      <c r="F16" t="s">
        <v>322</v>
      </c>
      <c r="G16">
        <v>20</v>
      </c>
    </row>
    <row r="17" spans="1:7" x14ac:dyDescent="0.3">
      <c r="A17" s="54" t="s">
        <v>334</v>
      </c>
      <c r="B17" s="54">
        <f>SUM(B2:B16)</f>
        <v>0</v>
      </c>
      <c r="C17" s="54">
        <f t="shared" ref="C17:D17" si="1">SUM(C2:C16)</f>
        <v>0</v>
      </c>
      <c r="D17" s="54">
        <f t="shared" si="1"/>
        <v>0</v>
      </c>
      <c r="F17" t="s">
        <v>323</v>
      </c>
      <c r="G17">
        <f>SUM(B17:D17)</f>
        <v>0</v>
      </c>
    </row>
    <row r="18" spans="1:7" x14ac:dyDescent="0.3">
      <c r="F18" s="64" t="s">
        <v>324</v>
      </c>
      <c r="G18" s="64">
        <f>SUM(G16:G17)</f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4BDE-3BE9-4D97-BDD8-4B9B514BA857}">
  <dimension ref="A1:AA69"/>
  <sheetViews>
    <sheetView zoomScaleNormal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" outlineLevelCol="1" x14ac:dyDescent="0.3"/>
  <cols>
    <col min="1" max="2" width="1.69921875" customWidth="1"/>
    <col min="3" max="3" width="26.69921875" customWidth="1"/>
    <col min="4" max="4" width="10.296875" bestFit="1" customWidth="1"/>
    <col min="5" max="19" width="9.296875" hidden="1" customWidth="1" outlineLevel="1"/>
    <col min="20" max="20" width="12.296875" customWidth="1" collapsed="1"/>
    <col min="21" max="24" width="1.69921875" customWidth="1"/>
    <col min="25" max="25" width="27.296875" bestFit="1" customWidth="1"/>
  </cols>
  <sheetData>
    <row r="1" spans="1:26" ht="20" thickBot="1" x14ac:dyDescent="0.5">
      <c r="A1" s="58" t="s">
        <v>289</v>
      </c>
      <c r="B1" s="58"/>
      <c r="C1" s="58"/>
    </row>
    <row r="2" spans="1:26" ht="13.5" thickTop="1" x14ac:dyDescent="0.3"/>
    <row r="3" spans="1:26" x14ac:dyDescent="0.3">
      <c r="C3" t="str">
        <f>IF(SUM(D23:T23)=0,"BS-OK","Error")</f>
        <v>BS-OK</v>
      </c>
    </row>
    <row r="5" spans="1:26" ht="17.5" thickBot="1" x14ac:dyDescent="0.45">
      <c r="A5" s="53" t="s">
        <v>1</v>
      </c>
      <c r="B5" s="53"/>
      <c r="C5" s="53"/>
      <c r="D5" s="55">
        <v>42735</v>
      </c>
      <c r="E5" s="56">
        <v>1</v>
      </c>
      <c r="F5" s="56">
        <f>E5+1</f>
        <v>2</v>
      </c>
      <c r="G5" s="56">
        <f t="shared" ref="G5:S5" si="0">F5+1</f>
        <v>3</v>
      </c>
      <c r="H5" s="56">
        <f t="shared" si="0"/>
        <v>4</v>
      </c>
      <c r="I5" s="56">
        <f t="shared" si="0"/>
        <v>5</v>
      </c>
      <c r="J5" s="56">
        <f t="shared" si="0"/>
        <v>6</v>
      </c>
      <c r="K5" s="56">
        <f t="shared" si="0"/>
        <v>7</v>
      </c>
      <c r="L5" s="56">
        <f t="shared" si="0"/>
        <v>8</v>
      </c>
      <c r="M5" s="56">
        <f t="shared" si="0"/>
        <v>9</v>
      </c>
      <c r="N5" s="56">
        <f t="shared" si="0"/>
        <v>10</v>
      </c>
      <c r="O5" s="56">
        <f t="shared" si="0"/>
        <v>11</v>
      </c>
      <c r="P5" s="56">
        <f t="shared" si="0"/>
        <v>12</v>
      </c>
      <c r="Q5" s="56">
        <f t="shared" si="0"/>
        <v>13</v>
      </c>
      <c r="R5" s="56">
        <f t="shared" si="0"/>
        <v>14</v>
      </c>
      <c r="S5" s="56">
        <f t="shared" si="0"/>
        <v>15</v>
      </c>
      <c r="T5" s="55">
        <v>43100</v>
      </c>
      <c r="V5" s="53" t="s">
        <v>81</v>
      </c>
      <c r="W5" s="53"/>
      <c r="X5" s="53"/>
      <c r="Y5" s="53"/>
      <c r="Z5" s="52">
        <f>T5</f>
        <v>43100</v>
      </c>
    </row>
    <row r="6" spans="1:26" ht="13.5" thickTop="1" x14ac:dyDescent="0.3">
      <c r="C6" t="s">
        <v>6</v>
      </c>
      <c r="D6">
        <v>25</v>
      </c>
      <c r="T6">
        <f t="shared" ref="T6:T11" si="1">SUM(D6:S6)</f>
        <v>25</v>
      </c>
      <c r="Y6" t="s">
        <v>278</v>
      </c>
    </row>
    <row r="7" spans="1:26" x14ac:dyDescent="0.3">
      <c r="C7" t="s">
        <v>276</v>
      </c>
      <c r="D7">
        <v>20</v>
      </c>
      <c r="T7">
        <f t="shared" si="1"/>
        <v>20</v>
      </c>
      <c r="V7" s="57"/>
      <c r="W7" s="59" t="s">
        <v>299</v>
      </c>
      <c r="X7" s="59"/>
      <c r="Y7" s="59"/>
    </row>
    <row r="8" spans="1:26" x14ac:dyDescent="0.3">
      <c r="C8" t="s">
        <v>8</v>
      </c>
      <c r="D8">
        <v>22</v>
      </c>
      <c r="T8">
        <f t="shared" si="1"/>
        <v>22</v>
      </c>
      <c r="Y8" t="s">
        <v>154</v>
      </c>
    </row>
    <row r="9" spans="1:26" x14ac:dyDescent="0.3">
      <c r="C9" t="s">
        <v>290</v>
      </c>
      <c r="D9">
        <v>2</v>
      </c>
      <c r="T9">
        <f t="shared" si="1"/>
        <v>2</v>
      </c>
      <c r="Y9" t="s">
        <v>295</v>
      </c>
    </row>
    <row r="10" spans="1:26" x14ac:dyDescent="0.3">
      <c r="C10" t="s">
        <v>9</v>
      </c>
      <c r="D10">
        <v>140</v>
      </c>
      <c r="T10">
        <f t="shared" si="1"/>
        <v>140</v>
      </c>
      <c r="Y10" t="s">
        <v>294</v>
      </c>
    </row>
    <row r="11" spans="1:26" x14ac:dyDescent="0.3">
      <c r="C11" t="s">
        <v>69</v>
      </c>
      <c r="D11">
        <v>19</v>
      </c>
      <c r="T11">
        <f t="shared" si="1"/>
        <v>19</v>
      </c>
      <c r="W11" s="59" t="s">
        <v>300</v>
      </c>
      <c r="X11" s="59"/>
      <c r="Y11" s="59"/>
    </row>
    <row r="12" spans="1:26" x14ac:dyDescent="0.3">
      <c r="B12" s="54" t="s">
        <v>10</v>
      </c>
      <c r="C12" s="54"/>
      <c r="D12" s="54">
        <f t="shared" ref="D12:T12" si="2">SUM(D6:D11)</f>
        <v>228</v>
      </c>
      <c r="E12" s="54">
        <f t="shared" si="2"/>
        <v>0</v>
      </c>
      <c r="F12" s="54">
        <f t="shared" si="2"/>
        <v>0</v>
      </c>
      <c r="G12" s="54">
        <f t="shared" si="2"/>
        <v>0</v>
      </c>
      <c r="H12" s="54">
        <f t="shared" si="2"/>
        <v>0</v>
      </c>
      <c r="I12" s="54">
        <f t="shared" si="2"/>
        <v>0</v>
      </c>
      <c r="J12" s="54">
        <f t="shared" si="2"/>
        <v>0</v>
      </c>
      <c r="K12" s="54">
        <f t="shared" si="2"/>
        <v>0</v>
      </c>
      <c r="L12" s="54">
        <f t="shared" si="2"/>
        <v>0</v>
      </c>
      <c r="M12" s="54">
        <f t="shared" si="2"/>
        <v>0</v>
      </c>
      <c r="N12" s="54">
        <f t="shared" si="2"/>
        <v>0</v>
      </c>
      <c r="O12" s="54">
        <f>SUM(O6:O11)</f>
        <v>0</v>
      </c>
      <c r="P12" s="54">
        <f t="shared" si="2"/>
        <v>0</v>
      </c>
      <c r="Q12" s="54">
        <f t="shared" si="2"/>
        <v>0</v>
      </c>
      <c r="R12" s="54">
        <f t="shared" si="2"/>
        <v>0</v>
      </c>
      <c r="S12" s="54">
        <f t="shared" si="2"/>
        <v>0</v>
      </c>
      <c r="T12" s="54">
        <f t="shared" si="2"/>
        <v>228</v>
      </c>
      <c r="Y12" t="s">
        <v>157</v>
      </c>
    </row>
    <row r="13" spans="1:26" x14ac:dyDescent="0.3">
      <c r="C13" t="s">
        <v>277</v>
      </c>
      <c r="D13">
        <v>20</v>
      </c>
      <c r="T13">
        <f t="shared" ref="T13:T20" si="3">SUM(D13:S13)</f>
        <v>20</v>
      </c>
      <c r="Y13" t="s">
        <v>156</v>
      </c>
    </row>
    <row r="14" spans="1:26" x14ac:dyDescent="0.3">
      <c r="C14" t="s">
        <v>291</v>
      </c>
      <c r="D14">
        <v>10</v>
      </c>
      <c r="T14">
        <f t="shared" si="3"/>
        <v>10</v>
      </c>
      <c r="Y14" t="s">
        <v>296</v>
      </c>
    </row>
    <row r="15" spans="1:26" x14ac:dyDescent="0.3">
      <c r="C15" t="s">
        <v>329</v>
      </c>
      <c r="D15">
        <v>5</v>
      </c>
      <c r="T15">
        <f t="shared" si="3"/>
        <v>5</v>
      </c>
      <c r="Y15" t="s">
        <v>298</v>
      </c>
    </row>
    <row r="16" spans="1:26" x14ac:dyDescent="0.3">
      <c r="C16" t="s">
        <v>281</v>
      </c>
      <c r="D16">
        <v>11</v>
      </c>
      <c r="T16">
        <f t="shared" si="3"/>
        <v>11</v>
      </c>
      <c r="Y16" t="s">
        <v>297</v>
      </c>
    </row>
    <row r="17" spans="1:27" x14ac:dyDescent="0.3">
      <c r="C17" t="s">
        <v>272</v>
      </c>
      <c r="D17">
        <v>52</v>
      </c>
      <c r="T17">
        <f t="shared" si="3"/>
        <v>52</v>
      </c>
      <c r="X17" s="57" t="s">
        <v>85</v>
      </c>
      <c r="Y17" s="57"/>
      <c r="Z17" s="57">
        <f>SUM(Z6:Z16)</f>
        <v>0</v>
      </c>
    </row>
    <row r="18" spans="1:27" x14ac:dyDescent="0.3">
      <c r="C18" t="s">
        <v>273</v>
      </c>
      <c r="D18">
        <v>100</v>
      </c>
      <c r="T18">
        <f t="shared" si="3"/>
        <v>100</v>
      </c>
      <c r="Y18" t="s">
        <v>330</v>
      </c>
      <c r="AA18" s="13"/>
    </row>
    <row r="19" spans="1:27" x14ac:dyDescent="0.3">
      <c r="C19" t="s">
        <v>14</v>
      </c>
      <c r="D19">
        <v>20</v>
      </c>
      <c r="T19">
        <f t="shared" si="3"/>
        <v>20</v>
      </c>
      <c r="Y19" t="s">
        <v>331</v>
      </c>
      <c r="AA19" s="13"/>
    </row>
    <row r="20" spans="1:27" x14ac:dyDescent="0.3">
      <c r="C20" t="s">
        <v>225</v>
      </c>
      <c r="D20">
        <v>10</v>
      </c>
      <c r="E20">
        <f>E36</f>
        <v>0</v>
      </c>
      <c r="F20">
        <f t="shared" ref="F20:S20" si="4">F36</f>
        <v>0</v>
      </c>
      <c r="G20">
        <f t="shared" si="4"/>
        <v>0</v>
      </c>
      <c r="H20">
        <f t="shared" si="4"/>
        <v>0</v>
      </c>
      <c r="I20">
        <f t="shared" si="4"/>
        <v>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si="4"/>
        <v>0</v>
      </c>
      <c r="N20">
        <f t="shared" si="4"/>
        <v>0</v>
      </c>
      <c r="O20">
        <f>O36</f>
        <v>0</v>
      </c>
      <c r="P20">
        <f t="shared" si="4"/>
        <v>0</v>
      </c>
      <c r="Q20">
        <f t="shared" si="4"/>
        <v>0</v>
      </c>
      <c r="R20">
        <f t="shared" si="4"/>
        <v>0</v>
      </c>
      <c r="S20">
        <f t="shared" si="4"/>
        <v>0</v>
      </c>
      <c r="T20">
        <f t="shared" si="3"/>
        <v>10</v>
      </c>
      <c r="X20" s="60"/>
      <c r="Y20" t="s">
        <v>332</v>
      </c>
    </row>
    <row r="21" spans="1:27" x14ac:dyDescent="0.3">
      <c r="B21" s="54" t="s">
        <v>16</v>
      </c>
      <c r="C21" s="54"/>
      <c r="D21" s="54">
        <f t="shared" ref="D21:T21" si="5">SUM(D13:D20)</f>
        <v>228</v>
      </c>
      <c r="E21" s="54">
        <f t="shared" si="5"/>
        <v>0</v>
      </c>
      <c r="F21" s="54">
        <f t="shared" si="5"/>
        <v>0</v>
      </c>
      <c r="G21" s="54">
        <f t="shared" si="5"/>
        <v>0</v>
      </c>
      <c r="H21" s="54">
        <f t="shared" si="5"/>
        <v>0</v>
      </c>
      <c r="I21" s="54">
        <f t="shared" si="5"/>
        <v>0</v>
      </c>
      <c r="J21" s="54">
        <f t="shared" si="5"/>
        <v>0</v>
      </c>
      <c r="K21" s="54">
        <f t="shared" si="5"/>
        <v>0</v>
      </c>
      <c r="L21" s="54">
        <f t="shared" si="5"/>
        <v>0</v>
      </c>
      <c r="M21" s="54">
        <f t="shared" si="5"/>
        <v>0</v>
      </c>
      <c r="N21" s="54">
        <f t="shared" si="5"/>
        <v>0</v>
      </c>
      <c r="O21" s="54">
        <f>SUM(O13:O20)</f>
        <v>0</v>
      </c>
      <c r="P21" s="54">
        <f t="shared" si="5"/>
        <v>0</v>
      </c>
      <c r="Q21" s="54">
        <f t="shared" si="5"/>
        <v>0</v>
      </c>
      <c r="R21" s="54">
        <f t="shared" si="5"/>
        <v>0</v>
      </c>
      <c r="S21" s="54">
        <f t="shared" si="5"/>
        <v>0</v>
      </c>
      <c r="T21" s="54">
        <f t="shared" si="5"/>
        <v>228</v>
      </c>
      <c r="Y21" t="s">
        <v>333</v>
      </c>
    </row>
    <row r="22" spans="1:27" x14ac:dyDescent="0.3">
      <c r="Y22" t="s">
        <v>301</v>
      </c>
    </row>
    <row r="23" spans="1:27" x14ac:dyDescent="0.3">
      <c r="C23" t="s">
        <v>4</v>
      </c>
      <c r="D23">
        <f t="shared" ref="D23:T23" si="6">D12-D21</f>
        <v>0</v>
      </c>
      <c r="E23">
        <f t="shared" si="6"/>
        <v>0</v>
      </c>
      <c r="F23">
        <f t="shared" si="6"/>
        <v>0</v>
      </c>
      <c r="G23">
        <f t="shared" si="6"/>
        <v>0</v>
      </c>
      <c r="H23">
        <f t="shared" si="6"/>
        <v>0</v>
      </c>
      <c r="I23">
        <f t="shared" si="6"/>
        <v>0</v>
      </c>
      <c r="J23">
        <f t="shared" si="6"/>
        <v>0</v>
      </c>
      <c r="K23">
        <f t="shared" si="6"/>
        <v>0</v>
      </c>
      <c r="L23">
        <f t="shared" si="6"/>
        <v>0</v>
      </c>
      <c r="M23">
        <f t="shared" si="6"/>
        <v>0</v>
      </c>
      <c r="N23">
        <f t="shared" si="6"/>
        <v>0</v>
      </c>
      <c r="O23">
        <f>O12-O21</f>
        <v>0</v>
      </c>
      <c r="P23">
        <f t="shared" si="6"/>
        <v>0</v>
      </c>
      <c r="Q23">
        <f t="shared" si="6"/>
        <v>0</v>
      </c>
      <c r="R23">
        <f t="shared" si="6"/>
        <v>0</v>
      </c>
      <c r="S23">
        <f t="shared" si="6"/>
        <v>0</v>
      </c>
      <c r="T23">
        <f t="shared" si="6"/>
        <v>0</v>
      </c>
      <c r="X23" s="57" t="s">
        <v>286</v>
      </c>
      <c r="Y23" s="57"/>
      <c r="Z23" s="57">
        <f>SUM(Z18:Z21)</f>
        <v>0</v>
      </c>
    </row>
    <row r="24" spans="1:27" x14ac:dyDescent="0.3">
      <c r="Y24" t="s">
        <v>174</v>
      </c>
    </row>
    <row r="25" spans="1:27" ht="17.5" thickBot="1" x14ac:dyDescent="0.45">
      <c r="A25" s="53" t="s">
        <v>0</v>
      </c>
      <c r="B25" s="53"/>
      <c r="C25" s="53"/>
      <c r="Y25" t="s">
        <v>182</v>
      </c>
    </row>
    <row r="26" spans="1:27" ht="13.5" thickTop="1" x14ac:dyDescent="0.3">
      <c r="C26" t="s">
        <v>30</v>
      </c>
      <c r="D26">
        <v>180</v>
      </c>
      <c r="T26">
        <f t="shared" ref="T26:T33" si="7">SUM(E26:S26)</f>
        <v>0</v>
      </c>
      <c r="Y26" t="s">
        <v>302</v>
      </c>
    </row>
    <row r="27" spans="1:27" x14ac:dyDescent="0.3">
      <c r="C27" t="s">
        <v>274</v>
      </c>
      <c r="D27">
        <v>-140</v>
      </c>
      <c r="T27">
        <f t="shared" si="7"/>
        <v>0</v>
      </c>
      <c r="X27" s="57" t="s">
        <v>183</v>
      </c>
      <c r="Y27" s="57"/>
      <c r="Z27" s="57">
        <f>SUM(Z24:Z26)</f>
        <v>0</v>
      </c>
    </row>
    <row r="28" spans="1:27" x14ac:dyDescent="0.3">
      <c r="C28" t="s">
        <v>19</v>
      </c>
      <c r="D28">
        <v>-14</v>
      </c>
      <c r="T28">
        <f t="shared" si="7"/>
        <v>0</v>
      </c>
    </row>
    <row r="29" spans="1:27" x14ac:dyDescent="0.3">
      <c r="C29" t="s">
        <v>328</v>
      </c>
      <c r="D29">
        <v>-10</v>
      </c>
      <c r="T29">
        <f t="shared" si="7"/>
        <v>0</v>
      </c>
      <c r="Y29" t="s">
        <v>178</v>
      </c>
      <c r="Z29">
        <f>D6</f>
        <v>25</v>
      </c>
    </row>
    <row r="30" spans="1:27" x14ac:dyDescent="0.3">
      <c r="C30" t="s">
        <v>292</v>
      </c>
      <c r="D30">
        <v>-5</v>
      </c>
      <c r="T30">
        <f t="shared" si="7"/>
        <v>0</v>
      </c>
      <c r="Y30" t="s">
        <v>177</v>
      </c>
      <c r="Z30">
        <f>SUM(Z27,Z23,Z17)</f>
        <v>0</v>
      </c>
    </row>
    <row r="31" spans="1:27" x14ac:dyDescent="0.3">
      <c r="C31" t="s">
        <v>293</v>
      </c>
      <c r="D31">
        <v>4</v>
      </c>
      <c r="T31">
        <f t="shared" si="7"/>
        <v>0</v>
      </c>
      <c r="Y31" s="54" t="s">
        <v>287</v>
      </c>
      <c r="Z31" s="54">
        <f>SUM(Z29:Z30)</f>
        <v>25</v>
      </c>
    </row>
    <row r="32" spans="1:27" x14ac:dyDescent="0.3">
      <c r="C32" t="s">
        <v>275</v>
      </c>
      <c r="D32">
        <v>-3</v>
      </c>
      <c r="T32">
        <f t="shared" si="7"/>
        <v>0</v>
      </c>
    </row>
    <row r="33" spans="1:26" x14ac:dyDescent="0.3">
      <c r="C33" t="s">
        <v>279</v>
      </c>
      <c r="D33">
        <v>-2.4</v>
      </c>
      <c r="S33" s="9">
        <f>SUM(T26:T32)*0.2*-1</f>
        <v>0</v>
      </c>
      <c r="T33">
        <f t="shared" si="7"/>
        <v>0</v>
      </c>
      <c r="Y33" t="s">
        <v>4</v>
      </c>
      <c r="Z33">
        <f>Z31-T6</f>
        <v>0</v>
      </c>
    </row>
    <row r="34" spans="1:26" x14ac:dyDescent="0.3">
      <c r="B34" s="54" t="s">
        <v>135</v>
      </c>
      <c r="C34" s="54"/>
      <c r="D34" s="54">
        <f t="shared" ref="D34:T34" si="8">SUM(D26:D33)</f>
        <v>9.6</v>
      </c>
      <c r="E34" s="54">
        <f t="shared" si="8"/>
        <v>0</v>
      </c>
      <c r="F34" s="54">
        <f t="shared" si="8"/>
        <v>0</v>
      </c>
      <c r="G34" s="54">
        <f t="shared" si="8"/>
        <v>0</v>
      </c>
      <c r="H34" s="54">
        <f t="shared" si="8"/>
        <v>0</v>
      </c>
      <c r="I34" s="54">
        <f t="shared" si="8"/>
        <v>0</v>
      </c>
      <c r="J34" s="54">
        <f t="shared" si="8"/>
        <v>0</v>
      </c>
      <c r="K34" s="54">
        <f t="shared" si="8"/>
        <v>0</v>
      </c>
      <c r="L34" s="54">
        <f t="shared" si="8"/>
        <v>0</v>
      </c>
      <c r="M34" s="54">
        <f t="shared" si="8"/>
        <v>0</v>
      </c>
      <c r="N34" s="54">
        <f t="shared" si="8"/>
        <v>0</v>
      </c>
      <c r="O34" s="54">
        <f>SUM(O26:O33)</f>
        <v>0</v>
      </c>
      <c r="P34" s="54">
        <f t="shared" si="8"/>
        <v>0</v>
      </c>
      <c r="Q34" s="54">
        <f t="shared" si="8"/>
        <v>0</v>
      </c>
      <c r="R34" s="54">
        <f t="shared" si="8"/>
        <v>0</v>
      </c>
      <c r="S34" s="54">
        <f t="shared" si="8"/>
        <v>0</v>
      </c>
      <c r="T34" s="54">
        <f t="shared" si="8"/>
        <v>0</v>
      </c>
    </row>
    <row r="35" spans="1:26" x14ac:dyDescent="0.3">
      <c r="C35" t="s">
        <v>24</v>
      </c>
      <c r="D35">
        <v>0</v>
      </c>
      <c r="T35">
        <f>SUM(E35:S35)</f>
        <v>0</v>
      </c>
    </row>
    <row r="36" spans="1:26" x14ac:dyDescent="0.3">
      <c r="B36" s="57" t="s">
        <v>25</v>
      </c>
      <c r="C36" s="57"/>
      <c r="D36" s="57">
        <f>SUM(D34:D35)</f>
        <v>9.6</v>
      </c>
      <c r="E36" s="57">
        <f t="shared" ref="E36:S36" si="9">SUM(E34:E35)</f>
        <v>0</v>
      </c>
      <c r="F36" s="57">
        <f t="shared" si="9"/>
        <v>0</v>
      </c>
      <c r="G36" s="57">
        <f t="shared" si="9"/>
        <v>0</v>
      </c>
      <c r="H36" s="57">
        <f t="shared" si="9"/>
        <v>0</v>
      </c>
      <c r="I36" s="57">
        <f t="shared" si="9"/>
        <v>0</v>
      </c>
      <c r="J36" s="57">
        <f t="shared" si="9"/>
        <v>0</v>
      </c>
      <c r="K36" s="57">
        <f t="shared" si="9"/>
        <v>0</v>
      </c>
      <c r="L36" s="57">
        <f t="shared" si="9"/>
        <v>0</v>
      </c>
      <c r="M36" s="57">
        <f t="shared" si="9"/>
        <v>0</v>
      </c>
      <c r="N36" s="57">
        <f t="shared" si="9"/>
        <v>0</v>
      </c>
      <c r="O36" s="57">
        <f>SUM(O34:O35)</f>
        <v>0</v>
      </c>
      <c r="P36" s="57">
        <f t="shared" si="9"/>
        <v>0</v>
      </c>
      <c r="Q36" s="57">
        <f t="shared" si="9"/>
        <v>0</v>
      </c>
      <c r="R36" s="57">
        <f t="shared" si="9"/>
        <v>0</v>
      </c>
      <c r="S36" s="57">
        <f t="shared" si="9"/>
        <v>0</v>
      </c>
      <c r="T36" s="57">
        <f>SUM(E36:S36)</f>
        <v>0</v>
      </c>
    </row>
    <row r="38" spans="1:26" ht="17.5" thickBot="1" x14ac:dyDescent="0.45">
      <c r="A38" s="53" t="s">
        <v>315</v>
      </c>
      <c r="B38" s="53"/>
      <c r="C38" s="53"/>
    </row>
    <row r="39" spans="1:26" ht="13.5" thickTop="1" x14ac:dyDescent="0.3">
      <c r="C39" t="s">
        <v>30</v>
      </c>
      <c r="D39">
        <f>D26</f>
        <v>180</v>
      </c>
      <c r="T39">
        <f>T26</f>
        <v>0</v>
      </c>
    </row>
    <row r="40" spans="1:26" x14ac:dyDescent="0.3">
      <c r="C40" t="s">
        <v>31</v>
      </c>
      <c r="D40">
        <f>SUM(D26:D27)</f>
        <v>40</v>
      </c>
      <c r="T40">
        <f>SUM(T26:T27)</f>
        <v>0</v>
      </c>
    </row>
    <row r="41" spans="1:26" x14ac:dyDescent="0.3">
      <c r="C41" t="s">
        <v>319</v>
      </c>
      <c r="D41">
        <f>D26+D27+D29</f>
        <v>30</v>
      </c>
      <c r="T41">
        <f>T26+T27+T29</f>
        <v>0</v>
      </c>
    </row>
    <row r="42" spans="1:26" x14ac:dyDescent="0.3">
      <c r="C42" t="s">
        <v>318</v>
      </c>
      <c r="D42">
        <f>D41+D28</f>
        <v>16</v>
      </c>
      <c r="T42">
        <f>T41+T28</f>
        <v>0</v>
      </c>
    </row>
    <row r="43" spans="1:26" x14ac:dyDescent="0.3">
      <c r="C43" t="s">
        <v>135</v>
      </c>
      <c r="D43">
        <f>D34</f>
        <v>9.6</v>
      </c>
      <c r="T43">
        <f>T34</f>
        <v>0</v>
      </c>
    </row>
    <row r="44" spans="1:26" x14ac:dyDescent="0.3">
      <c r="C44" t="s">
        <v>316</v>
      </c>
      <c r="D44">
        <f>SUM(D16:D17)</f>
        <v>63</v>
      </c>
      <c r="T44">
        <f>SUM(T16:T17)</f>
        <v>63</v>
      </c>
    </row>
    <row r="45" spans="1:26" x14ac:dyDescent="0.3">
      <c r="C45" t="s">
        <v>45</v>
      </c>
      <c r="D45">
        <f>SUM(D18:D20)</f>
        <v>130</v>
      </c>
      <c r="T45">
        <f>SUM(T18:T20)</f>
        <v>130</v>
      </c>
    </row>
    <row r="46" spans="1:26" x14ac:dyDescent="0.3">
      <c r="C46" t="s">
        <v>232</v>
      </c>
      <c r="D46">
        <f>SUM(D44:D45)</f>
        <v>193</v>
      </c>
      <c r="T46">
        <f>SUM(T44:T45)</f>
        <v>193</v>
      </c>
    </row>
    <row r="47" spans="1:26" x14ac:dyDescent="0.3">
      <c r="C47" t="s">
        <v>41</v>
      </c>
      <c r="D47">
        <f>SUM(D6:D9)</f>
        <v>69</v>
      </c>
      <c r="T47">
        <f>SUM(T6:T9)</f>
        <v>69</v>
      </c>
    </row>
    <row r="48" spans="1:26" x14ac:dyDescent="0.3">
      <c r="C48" t="s">
        <v>43</v>
      </c>
      <c r="D48">
        <f>SUM(D13:D16)</f>
        <v>46</v>
      </c>
      <c r="T48">
        <f>SUM(T13:T16)</f>
        <v>46</v>
      </c>
    </row>
    <row r="49" spans="1:20" ht="17.5" thickBot="1" x14ac:dyDescent="0.45">
      <c r="A49" s="53" t="s">
        <v>303</v>
      </c>
      <c r="B49" s="53"/>
      <c r="C49" s="53"/>
    </row>
    <row r="50" spans="1:20" ht="15.5" thickTop="1" thickBot="1" x14ac:dyDescent="0.4">
      <c r="B50" s="61" t="s">
        <v>191</v>
      </c>
      <c r="C50" s="61"/>
    </row>
    <row r="51" spans="1:20" x14ac:dyDescent="0.3">
      <c r="C51" t="s">
        <v>192</v>
      </c>
      <c r="D51" s="13">
        <f>D40/D$39</f>
        <v>0.22222222222222221</v>
      </c>
      <c r="T51" s="13" t="e">
        <f>T40/T$39</f>
        <v>#DIV/0!</v>
      </c>
    </row>
    <row r="52" spans="1:20" x14ac:dyDescent="0.3">
      <c r="C52" t="s">
        <v>197</v>
      </c>
      <c r="D52" s="13">
        <f t="shared" ref="D52:D54" si="10">D41/D$39</f>
        <v>0.16666666666666666</v>
      </c>
      <c r="T52" s="13" t="e">
        <f t="shared" ref="T52:T54" si="11">T41/T$39</f>
        <v>#DIV/0!</v>
      </c>
    </row>
    <row r="53" spans="1:20" x14ac:dyDescent="0.3">
      <c r="C53" t="s">
        <v>198</v>
      </c>
      <c r="D53" s="13">
        <f t="shared" si="10"/>
        <v>8.8888888888888892E-2</v>
      </c>
      <c r="T53" s="13" t="e">
        <f t="shared" si="11"/>
        <v>#DIV/0!</v>
      </c>
    </row>
    <row r="54" spans="1:20" x14ac:dyDescent="0.3">
      <c r="C54" t="s">
        <v>304</v>
      </c>
      <c r="D54" s="13">
        <f t="shared" si="10"/>
        <v>5.333333333333333E-2</v>
      </c>
      <c r="T54" s="13" t="e">
        <f t="shared" si="11"/>
        <v>#DIV/0!</v>
      </c>
    </row>
    <row r="55" spans="1:20" ht="15" thickBot="1" x14ac:dyDescent="0.4">
      <c r="B55" s="61" t="s">
        <v>202</v>
      </c>
      <c r="C55" s="61"/>
    </row>
    <row r="56" spans="1:20" x14ac:dyDescent="0.3">
      <c r="C56" t="s">
        <v>306</v>
      </c>
      <c r="D56" s="13">
        <f>D42/D46</f>
        <v>8.2901554404145081E-2</v>
      </c>
      <c r="T56" s="13">
        <f>T42/T46</f>
        <v>0</v>
      </c>
    </row>
    <row r="57" spans="1:20" x14ac:dyDescent="0.3">
      <c r="C57" t="s">
        <v>307</v>
      </c>
      <c r="D57" s="13">
        <f>D43/D45</f>
        <v>7.3846153846153839E-2</v>
      </c>
      <c r="T57" s="13">
        <f>T43/T45</f>
        <v>0</v>
      </c>
    </row>
    <row r="58" spans="1:20" ht="15" thickBot="1" x14ac:dyDescent="0.4">
      <c r="B58" s="61" t="s">
        <v>308</v>
      </c>
      <c r="C58" s="61"/>
    </row>
    <row r="59" spans="1:20" x14ac:dyDescent="0.3">
      <c r="C59" t="s">
        <v>317</v>
      </c>
      <c r="D59" s="62">
        <f>D44/D41</f>
        <v>2.1</v>
      </c>
      <c r="T59" s="62" t="e">
        <f>T44/T41</f>
        <v>#DIV/0!</v>
      </c>
    </row>
    <row r="60" spans="1:20" x14ac:dyDescent="0.3">
      <c r="C60" t="s">
        <v>309</v>
      </c>
      <c r="D60" s="13">
        <f>D44/D45</f>
        <v>0.48461538461538461</v>
      </c>
      <c r="T60" s="13">
        <f>T44/T45</f>
        <v>0.48461538461538461</v>
      </c>
    </row>
    <row r="61" spans="1:20" x14ac:dyDescent="0.3">
      <c r="C61" t="s">
        <v>310</v>
      </c>
      <c r="D61" s="62">
        <f>-D41/D32</f>
        <v>10</v>
      </c>
      <c r="T61" s="62" t="e">
        <f>-T41/T32</f>
        <v>#DIV/0!</v>
      </c>
    </row>
    <row r="62" spans="1:20" ht="15" thickBot="1" x14ac:dyDescent="0.4">
      <c r="B62" s="61" t="s">
        <v>311</v>
      </c>
      <c r="C62" s="61"/>
    </row>
    <row r="63" spans="1:20" x14ac:dyDescent="0.3">
      <c r="C63" t="s">
        <v>245</v>
      </c>
      <c r="D63" s="62">
        <f>D47/D48</f>
        <v>1.5</v>
      </c>
      <c r="T63" s="62">
        <f>T47/T48</f>
        <v>1.5</v>
      </c>
    </row>
    <row r="64" spans="1:20" x14ac:dyDescent="0.3">
      <c r="C64" t="s">
        <v>249</v>
      </c>
      <c r="D64" s="62">
        <f>(D47-D8)/D48</f>
        <v>1.0217391304347827</v>
      </c>
      <c r="T64" s="62">
        <f>(T47-T8)/T48</f>
        <v>1.0217391304347827</v>
      </c>
    </row>
    <row r="65" spans="2:20" ht="15" thickBot="1" x14ac:dyDescent="0.4">
      <c r="B65" s="61" t="s">
        <v>312</v>
      </c>
      <c r="C65" s="61"/>
    </row>
    <row r="66" spans="2:20" x14ac:dyDescent="0.3">
      <c r="C66" t="s">
        <v>313</v>
      </c>
      <c r="D66" s="63">
        <f>D7/D26*365</f>
        <v>40.55555555555555</v>
      </c>
      <c r="T66" s="63" t="e">
        <f>T7/T26*365</f>
        <v>#DIV/0!</v>
      </c>
    </row>
    <row r="67" spans="2:20" x14ac:dyDescent="0.3">
      <c r="C67" t="s">
        <v>257</v>
      </c>
      <c r="D67" s="63">
        <f>-D8/D27*365</f>
        <v>57.357142857142854</v>
      </c>
      <c r="T67" s="63" t="e">
        <f>-T8/T27*365</f>
        <v>#DIV/0!</v>
      </c>
    </row>
    <row r="68" spans="2:20" x14ac:dyDescent="0.3">
      <c r="C68" t="s">
        <v>259</v>
      </c>
      <c r="D68" s="63">
        <f>-D13/D27*365</f>
        <v>52.142857142857139</v>
      </c>
      <c r="T68" s="63" t="e">
        <f>-T13/T27*365</f>
        <v>#DIV/0!</v>
      </c>
    </row>
    <row r="69" spans="2:20" x14ac:dyDescent="0.3">
      <c r="C69" t="s">
        <v>314</v>
      </c>
      <c r="D69" s="63">
        <f>D66+D67-D68</f>
        <v>45.769841269841265</v>
      </c>
      <c r="T69" s="63" t="e">
        <f>T66+T67-T68</f>
        <v>#DIV/0!</v>
      </c>
    </row>
  </sheetData>
  <conditionalFormatting sqref="C3">
    <cfRule type="containsText" dxfId="13" priority="5" operator="containsText" text="error">
      <formula>NOT(ISERROR(SEARCH("error",C3)))</formula>
    </cfRule>
    <cfRule type="containsText" dxfId="12" priority="6" operator="containsText" text="ok">
      <formula>NOT(ISERROR(SEARCH("ok",C3)))</formula>
    </cfRule>
  </conditionalFormatting>
  <conditionalFormatting sqref="D23:T23">
    <cfRule type="cellIs" dxfId="11" priority="3" operator="notEqual">
      <formula>0</formula>
    </cfRule>
    <cfRule type="cellIs" dxfId="10" priority="4" operator="equal">
      <formula>0</formula>
    </cfRule>
  </conditionalFormatting>
  <conditionalFormatting sqref="Z33">
    <cfRule type="cellIs" dxfId="9" priority="1" operator="notEqual">
      <formula>0</formula>
    </cfRule>
    <cfRule type="cellIs" dxfId="8" priority="2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E5A0-2811-4B8C-93E5-170A007159EE}">
  <dimension ref="A1:G17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" x14ac:dyDescent="0.3"/>
  <cols>
    <col min="6" max="6" width="11.8984375" bestFit="1" customWidth="1"/>
  </cols>
  <sheetData>
    <row r="1" spans="1:7" ht="15.5" x14ac:dyDescent="0.35">
      <c r="A1" s="65" t="s">
        <v>320</v>
      </c>
      <c r="B1" s="65" t="s">
        <v>103</v>
      </c>
      <c r="C1" s="65" t="s">
        <v>104</v>
      </c>
      <c r="D1" s="65" t="s">
        <v>105</v>
      </c>
    </row>
    <row r="2" spans="1:7" x14ac:dyDescent="0.3">
      <c r="A2">
        <v>1</v>
      </c>
    </row>
    <row r="3" spans="1:7" x14ac:dyDescent="0.3">
      <c r="A3">
        <v>2</v>
      </c>
    </row>
    <row r="4" spans="1:7" x14ac:dyDescent="0.3">
      <c r="A4">
        <v>3</v>
      </c>
    </row>
    <row r="5" spans="1:7" x14ac:dyDescent="0.3">
      <c r="A5">
        <v>4</v>
      </c>
    </row>
    <row r="6" spans="1:7" x14ac:dyDescent="0.3">
      <c r="A6">
        <v>5</v>
      </c>
    </row>
    <row r="7" spans="1:7" x14ac:dyDescent="0.3">
      <c r="A7">
        <v>6</v>
      </c>
    </row>
    <row r="8" spans="1:7" x14ac:dyDescent="0.3">
      <c r="A8">
        <v>7</v>
      </c>
    </row>
    <row r="9" spans="1:7" x14ac:dyDescent="0.3">
      <c r="A9">
        <v>8</v>
      </c>
    </row>
    <row r="10" spans="1:7" x14ac:dyDescent="0.3">
      <c r="A10">
        <v>9</v>
      </c>
    </row>
    <row r="11" spans="1:7" x14ac:dyDescent="0.3">
      <c r="A11">
        <v>10</v>
      </c>
    </row>
    <row r="12" spans="1:7" x14ac:dyDescent="0.3">
      <c r="A12">
        <v>11</v>
      </c>
    </row>
    <row r="13" spans="1:7" x14ac:dyDescent="0.3">
      <c r="A13">
        <v>12</v>
      </c>
    </row>
    <row r="14" spans="1:7" x14ac:dyDescent="0.3">
      <c r="A14">
        <v>13</v>
      </c>
    </row>
    <row r="15" spans="1:7" x14ac:dyDescent="0.3">
      <c r="A15">
        <v>14</v>
      </c>
      <c r="F15" t="s">
        <v>322</v>
      </c>
      <c r="G15">
        <f>'Kelly Corp'!D6</f>
        <v>25</v>
      </c>
    </row>
    <row r="16" spans="1:7" x14ac:dyDescent="0.3">
      <c r="A16" s="54" t="s">
        <v>334</v>
      </c>
      <c r="B16" s="54">
        <f>SUM(B2:B15)</f>
        <v>0</v>
      </c>
      <c r="C16" s="54">
        <f>SUM(C2:C15)</f>
        <v>0</v>
      </c>
      <c r="D16" s="54">
        <f>SUM(D2:D15)</f>
        <v>0</v>
      </c>
      <c r="F16" t="s">
        <v>323</v>
      </c>
      <c r="G16">
        <f>SUM(B16:D16)</f>
        <v>0</v>
      </c>
    </row>
    <row r="17" spans="6:7" x14ac:dyDescent="0.3">
      <c r="F17" s="64" t="s">
        <v>324</v>
      </c>
      <c r="G17" s="64">
        <f>SUM(G15:G16)</f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33B2-24B1-463E-AE9C-5D01C7ADB0C9}">
  <dimension ref="A1:I24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3" x14ac:dyDescent="0.3"/>
  <cols>
    <col min="1" max="2" width="1.69921875" customWidth="1"/>
    <col min="3" max="3" width="25.69921875" customWidth="1"/>
    <col min="4" max="4" width="1.69921875" customWidth="1"/>
    <col min="5" max="6" width="15.69921875" style="11" customWidth="1"/>
    <col min="7" max="7" width="1.69921875" style="11" customWidth="1"/>
    <col min="8" max="9" width="15.69921875" style="11" customWidth="1"/>
  </cols>
  <sheetData>
    <row r="1" spans="1:9" ht="20" thickBot="1" x14ac:dyDescent="0.5">
      <c r="A1" s="58" t="s">
        <v>305</v>
      </c>
      <c r="B1" s="58"/>
      <c r="C1" s="58"/>
    </row>
    <row r="2" spans="1:9" ht="13.5" thickTop="1" x14ac:dyDescent="0.3"/>
    <row r="3" spans="1:9" ht="14.5" x14ac:dyDescent="0.35">
      <c r="E3" s="56" t="s">
        <v>288</v>
      </c>
      <c r="H3" s="56" t="s">
        <v>320</v>
      </c>
    </row>
    <row r="4" spans="1:9" ht="14.5" x14ac:dyDescent="0.35">
      <c r="C4" s="56" t="s">
        <v>303</v>
      </c>
      <c r="E4" s="66">
        <v>2016</v>
      </c>
      <c r="F4" s="66">
        <v>2017</v>
      </c>
      <c r="G4" s="66"/>
      <c r="H4" s="66">
        <v>2016</v>
      </c>
      <c r="I4" s="66">
        <v>2017</v>
      </c>
    </row>
    <row r="5" spans="1:9" ht="15" thickBot="1" x14ac:dyDescent="0.4">
      <c r="B5" s="61" t="s">
        <v>191</v>
      </c>
      <c r="C5" s="61"/>
    </row>
    <row r="6" spans="1:9" x14ac:dyDescent="0.3">
      <c r="C6" t="s">
        <v>192</v>
      </c>
      <c r="E6" s="14">
        <f>'Macers Corp'!D45</f>
        <v>0</v>
      </c>
      <c r="F6" s="14">
        <f>'Macers Corp'!T45</f>
        <v>0</v>
      </c>
      <c r="G6" s="14"/>
      <c r="H6" s="14">
        <f>'Kelly Corp'!D51</f>
        <v>0.22222222222222221</v>
      </c>
      <c r="I6" s="14" t="e">
        <f>'Kelly Corp'!T51</f>
        <v>#DIV/0!</v>
      </c>
    </row>
    <row r="7" spans="1:9" x14ac:dyDescent="0.3">
      <c r="C7" t="s">
        <v>197</v>
      </c>
      <c r="E7" s="14">
        <f>'Macers Corp'!D46</f>
        <v>0</v>
      </c>
      <c r="F7" s="14">
        <f>'Macers Corp'!T46</f>
        <v>0</v>
      </c>
      <c r="G7" s="14"/>
      <c r="H7" s="14">
        <f>'Kelly Corp'!D52</f>
        <v>0.16666666666666666</v>
      </c>
      <c r="I7" s="14" t="e">
        <f>'Kelly Corp'!T52</f>
        <v>#DIV/0!</v>
      </c>
    </row>
    <row r="8" spans="1:9" x14ac:dyDescent="0.3">
      <c r="C8" t="s">
        <v>198</v>
      </c>
      <c r="E8" s="14">
        <f>'Macers Corp'!D47</f>
        <v>0</v>
      </c>
      <c r="F8" s="14">
        <f>'Macers Corp'!T47</f>
        <v>0</v>
      </c>
      <c r="G8" s="14"/>
      <c r="H8" s="14">
        <f>'Kelly Corp'!D53</f>
        <v>8.8888888888888892E-2</v>
      </c>
      <c r="I8" s="14" t="e">
        <f>'Kelly Corp'!T53</f>
        <v>#DIV/0!</v>
      </c>
    </row>
    <row r="9" spans="1:9" x14ac:dyDescent="0.3">
      <c r="C9" t="s">
        <v>304</v>
      </c>
      <c r="E9" s="14">
        <f>'Macers Corp'!D48</f>
        <v>0</v>
      </c>
      <c r="F9" s="14">
        <f>'Macers Corp'!T48</f>
        <v>0</v>
      </c>
      <c r="G9" s="14"/>
      <c r="H9" s="14">
        <f>'Kelly Corp'!D54</f>
        <v>5.333333333333333E-2</v>
      </c>
      <c r="I9" s="14" t="e">
        <f>'Kelly Corp'!T54</f>
        <v>#DIV/0!</v>
      </c>
    </row>
    <row r="10" spans="1:9" ht="15" thickBot="1" x14ac:dyDescent="0.4">
      <c r="B10" s="61" t="s">
        <v>202</v>
      </c>
      <c r="C10" s="61"/>
    </row>
    <row r="11" spans="1:9" x14ac:dyDescent="0.3">
      <c r="C11" t="s">
        <v>306</v>
      </c>
      <c r="E11" s="14">
        <f>'Macers Corp'!D50</f>
        <v>0</v>
      </c>
      <c r="F11" s="14">
        <f>'Macers Corp'!T50</f>
        <v>0</v>
      </c>
      <c r="G11" s="14"/>
      <c r="H11" s="14">
        <f>'Kelly Corp'!D56</f>
        <v>8.2901554404145081E-2</v>
      </c>
      <c r="I11" s="14">
        <f>'Kelly Corp'!T56</f>
        <v>0</v>
      </c>
    </row>
    <row r="12" spans="1:9" x14ac:dyDescent="0.3">
      <c r="C12" t="s">
        <v>307</v>
      </c>
      <c r="E12" s="14">
        <f>'Macers Corp'!D51</f>
        <v>0</v>
      </c>
      <c r="F12" s="14">
        <f>'Macers Corp'!T51</f>
        <v>0</v>
      </c>
      <c r="G12" s="14"/>
      <c r="H12" s="14">
        <f>'Kelly Corp'!D57</f>
        <v>7.3846153846153839E-2</v>
      </c>
      <c r="I12" s="14">
        <f>'Kelly Corp'!T57</f>
        <v>0</v>
      </c>
    </row>
    <row r="13" spans="1:9" ht="15" thickBot="1" x14ac:dyDescent="0.4">
      <c r="B13" s="61" t="s">
        <v>308</v>
      </c>
      <c r="C13" s="61"/>
    </row>
    <row r="14" spans="1:9" x14ac:dyDescent="0.3">
      <c r="C14" t="s">
        <v>317</v>
      </c>
      <c r="E14" s="67">
        <f>'Macers Corp'!D53</f>
        <v>0</v>
      </c>
      <c r="F14" s="67">
        <f>'Macers Corp'!T53</f>
        <v>0</v>
      </c>
      <c r="G14" s="67"/>
      <c r="H14" s="67">
        <f>'Kelly Corp'!D59</f>
        <v>2.1</v>
      </c>
      <c r="I14" s="14" t="e">
        <f>'Kelly Corp'!T59</f>
        <v>#DIV/0!</v>
      </c>
    </row>
    <row r="15" spans="1:9" x14ac:dyDescent="0.3">
      <c r="C15" t="s">
        <v>309</v>
      </c>
      <c r="E15" s="14">
        <f>'Macers Corp'!D54</f>
        <v>0</v>
      </c>
      <c r="F15" s="14">
        <f>'Macers Corp'!T54</f>
        <v>0</v>
      </c>
      <c r="G15" s="14"/>
      <c r="H15" s="14">
        <f>'Kelly Corp'!D60</f>
        <v>0.48461538461538461</v>
      </c>
      <c r="I15" s="14">
        <f>'Kelly Corp'!T60</f>
        <v>0.48461538461538461</v>
      </c>
    </row>
    <row r="16" spans="1:9" x14ac:dyDescent="0.3">
      <c r="C16" t="s">
        <v>310</v>
      </c>
      <c r="E16" s="67">
        <f>'Macers Corp'!D55</f>
        <v>0</v>
      </c>
      <c r="F16" s="67">
        <f>'Macers Corp'!T55</f>
        <v>0</v>
      </c>
      <c r="G16" s="67"/>
      <c r="H16" s="67">
        <f>'Kelly Corp'!D61</f>
        <v>10</v>
      </c>
      <c r="I16" s="14" t="e">
        <f>'Kelly Corp'!T61</f>
        <v>#DIV/0!</v>
      </c>
    </row>
    <row r="17" spans="2:9" ht="15" thickBot="1" x14ac:dyDescent="0.4">
      <c r="B17" s="61" t="s">
        <v>311</v>
      </c>
      <c r="C17" s="61"/>
    </row>
    <row r="18" spans="2:9" x14ac:dyDescent="0.3">
      <c r="C18" t="s">
        <v>245</v>
      </c>
      <c r="E18" s="67">
        <f>'Macers Corp'!D57</f>
        <v>0</v>
      </c>
      <c r="F18" s="67">
        <f>'Macers Corp'!T57</f>
        <v>0</v>
      </c>
      <c r="G18" s="67"/>
      <c r="H18" s="67">
        <f>'Kelly Corp'!D63</f>
        <v>1.5</v>
      </c>
      <c r="I18" s="67">
        <f>'Kelly Corp'!T63</f>
        <v>1.5</v>
      </c>
    </row>
    <row r="19" spans="2:9" x14ac:dyDescent="0.3">
      <c r="C19" t="s">
        <v>249</v>
      </c>
      <c r="E19" s="67">
        <f>'Macers Corp'!D58</f>
        <v>0</v>
      </c>
      <c r="F19" s="67">
        <f>'Macers Corp'!T58</f>
        <v>0</v>
      </c>
      <c r="G19" s="67"/>
      <c r="H19" s="67">
        <f>'Kelly Corp'!D64</f>
        <v>1.0217391304347827</v>
      </c>
      <c r="I19" s="67">
        <f>'Kelly Corp'!T64</f>
        <v>1.0217391304347827</v>
      </c>
    </row>
    <row r="20" spans="2:9" ht="15" thickBot="1" x14ac:dyDescent="0.4">
      <c r="B20" s="61" t="s">
        <v>312</v>
      </c>
      <c r="C20" s="61"/>
    </row>
    <row r="21" spans="2:9" x14ac:dyDescent="0.3">
      <c r="C21" t="s">
        <v>313</v>
      </c>
      <c r="E21" s="68">
        <f>'Macers Corp'!D60</f>
        <v>0</v>
      </c>
      <c r="F21" s="68">
        <f>'Macers Corp'!T60</f>
        <v>0</v>
      </c>
      <c r="G21" s="68"/>
      <c r="H21" s="68">
        <f>'Kelly Corp'!D66</f>
        <v>40.55555555555555</v>
      </c>
      <c r="I21" s="68" t="e">
        <f>'Kelly Corp'!T66</f>
        <v>#DIV/0!</v>
      </c>
    </row>
    <row r="22" spans="2:9" x14ac:dyDescent="0.3">
      <c r="C22" t="s">
        <v>257</v>
      </c>
      <c r="E22" s="68">
        <f>'Macers Corp'!D61</f>
        <v>0</v>
      </c>
      <c r="F22" s="68">
        <f>'Macers Corp'!T61</f>
        <v>0</v>
      </c>
      <c r="G22" s="68"/>
      <c r="H22" s="68">
        <f>'Kelly Corp'!D67</f>
        <v>57.357142857142854</v>
      </c>
      <c r="I22" s="68" t="e">
        <f>'Kelly Corp'!T67</f>
        <v>#DIV/0!</v>
      </c>
    </row>
    <row r="23" spans="2:9" x14ac:dyDescent="0.3">
      <c r="C23" t="s">
        <v>259</v>
      </c>
      <c r="E23" s="68">
        <f>'Macers Corp'!D62</f>
        <v>0</v>
      </c>
      <c r="F23" s="68">
        <f>'Macers Corp'!T62</f>
        <v>0</v>
      </c>
      <c r="G23" s="68"/>
      <c r="H23" s="68">
        <f>'Kelly Corp'!D68</f>
        <v>52.142857142857139</v>
      </c>
      <c r="I23" s="68" t="e">
        <f>'Kelly Corp'!T68</f>
        <v>#DIV/0!</v>
      </c>
    </row>
    <row r="24" spans="2:9" x14ac:dyDescent="0.3">
      <c r="C24" t="s">
        <v>314</v>
      </c>
      <c r="E24" s="68">
        <f>'Macers Corp'!D63</f>
        <v>0</v>
      </c>
      <c r="F24" s="68">
        <f>'Macers Corp'!T63</f>
        <v>0</v>
      </c>
      <c r="G24" s="68"/>
      <c r="H24" s="68">
        <f>'Kelly Corp'!D69</f>
        <v>45.769841269841265</v>
      </c>
      <c r="I24" s="68" t="e">
        <f>'Kelly Corp'!T69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3"/>
  <sheetViews>
    <sheetView zoomScale="150" zoomScaleNormal="150" workbookViewId="0">
      <pane xSplit="4" ySplit="3" topLeftCell="E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3" outlineLevelCol="1" x14ac:dyDescent="0.3"/>
  <cols>
    <col min="1" max="2" width="1.69921875" customWidth="1"/>
    <col min="3" max="3" width="27.3984375" customWidth="1"/>
    <col min="4" max="4" width="1.69921875" customWidth="1"/>
    <col min="6" max="7" width="9.8984375" customWidth="1" outlineLevel="1"/>
    <col min="8" max="8" width="11.296875" customWidth="1" outlineLevel="1"/>
    <col min="9" max="10" width="9.8984375" customWidth="1" outlineLevel="1"/>
    <col min="11" max="11" width="10.8984375" customWidth="1" outlineLevel="1"/>
    <col min="12" max="12" width="11.296875" customWidth="1" outlineLevel="1"/>
    <col min="13" max="13" width="9.8984375" customWidth="1" outlineLevel="1"/>
    <col min="14" max="15" width="9.09765625" customWidth="1" outlineLevel="1"/>
    <col min="16" max="16" width="9.8984375" customWidth="1" outlineLevel="1"/>
    <col min="17" max="17" width="11.296875" customWidth="1"/>
    <col min="18" max="20" width="1.69921875" customWidth="1"/>
    <col min="21" max="21" width="31" customWidth="1"/>
  </cols>
  <sheetData>
    <row r="1" spans="1:22" ht="14.5" x14ac:dyDescent="0.35">
      <c r="C1" s="1" t="s">
        <v>34</v>
      </c>
    </row>
    <row r="2" spans="1:22" x14ac:dyDescent="0.3">
      <c r="C2" t="str">
        <f>IF(SUM(E19:Q19)=0,"OK","Error")</f>
        <v>OK</v>
      </c>
    </row>
    <row r="3" spans="1:22" ht="14.5" x14ac:dyDescent="0.35">
      <c r="A3" s="5" t="s">
        <v>1</v>
      </c>
      <c r="E3" s="2">
        <v>0</v>
      </c>
      <c r="F3" s="2">
        <f>E3+1</f>
        <v>1</v>
      </c>
      <c r="G3" s="2">
        <f t="shared" ref="G3:P3" si="0">F3+1</f>
        <v>2</v>
      </c>
      <c r="H3" s="2">
        <f t="shared" si="0"/>
        <v>3</v>
      </c>
      <c r="I3" s="2">
        <f t="shared" si="0"/>
        <v>4</v>
      </c>
      <c r="J3" s="2">
        <f t="shared" si="0"/>
        <v>5</v>
      </c>
      <c r="K3" s="2">
        <f t="shared" si="0"/>
        <v>6</v>
      </c>
      <c r="L3" s="2">
        <f t="shared" si="0"/>
        <v>7</v>
      </c>
      <c r="M3" s="2">
        <f t="shared" si="0"/>
        <v>8</v>
      </c>
      <c r="N3" s="2">
        <f t="shared" si="0"/>
        <v>9</v>
      </c>
      <c r="O3" s="2">
        <f t="shared" si="0"/>
        <v>10</v>
      </c>
      <c r="P3" s="2">
        <f t="shared" si="0"/>
        <v>11</v>
      </c>
      <c r="Q3" s="2" t="s">
        <v>11</v>
      </c>
      <c r="S3" t="s">
        <v>84</v>
      </c>
    </row>
    <row r="4" spans="1:22" ht="14.5" x14ac:dyDescent="0.35">
      <c r="C4" t="s">
        <v>6</v>
      </c>
      <c r="E4">
        <v>80</v>
      </c>
      <c r="F4">
        <v>1230</v>
      </c>
      <c r="H4">
        <f>-435</f>
        <v>-435</v>
      </c>
      <c r="I4">
        <f>-265</f>
        <v>-265</v>
      </c>
      <c r="J4">
        <v>-180</v>
      </c>
      <c r="K4">
        <v>-83</v>
      </c>
      <c r="L4">
        <v>-72</v>
      </c>
      <c r="M4">
        <v>-94</v>
      </c>
      <c r="N4">
        <v>50</v>
      </c>
      <c r="O4">
        <f>350-380</f>
        <v>-30</v>
      </c>
      <c r="P4">
        <v>-62</v>
      </c>
      <c r="Q4">
        <f>SUM(E4:P4)</f>
        <v>139</v>
      </c>
      <c r="T4" s="5" t="s">
        <v>85</v>
      </c>
    </row>
    <row r="5" spans="1:22" x14ac:dyDescent="0.3">
      <c r="C5" t="s">
        <v>7</v>
      </c>
      <c r="E5">
        <v>290</v>
      </c>
      <c r="F5">
        <f>1150-1230</f>
        <v>-80</v>
      </c>
      <c r="Q5">
        <f t="shared" ref="Q5:Q8" si="1">SUM(E5:P5)</f>
        <v>210</v>
      </c>
      <c r="U5" t="s">
        <v>86</v>
      </c>
      <c r="V5">
        <v>1230</v>
      </c>
    </row>
    <row r="6" spans="1:22" x14ac:dyDescent="0.3">
      <c r="C6" t="s">
        <v>8</v>
      </c>
      <c r="E6">
        <v>320</v>
      </c>
      <c r="G6">
        <f>400-345</f>
        <v>55</v>
      </c>
      <c r="Q6">
        <f t="shared" si="1"/>
        <v>375</v>
      </c>
      <c r="U6" t="s">
        <v>87</v>
      </c>
      <c r="V6">
        <v>-435</v>
      </c>
    </row>
    <row r="7" spans="1:22" x14ac:dyDescent="0.3">
      <c r="C7" t="s">
        <v>9</v>
      </c>
      <c r="E7">
        <v>1325</v>
      </c>
      <c r="J7">
        <f>180-90</f>
        <v>90</v>
      </c>
      <c r="Q7">
        <f t="shared" si="1"/>
        <v>1415</v>
      </c>
      <c r="U7" t="s">
        <v>88</v>
      </c>
      <c r="V7">
        <v>-265</v>
      </c>
    </row>
    <row r="8" spans="1:22" x14ac:dyDescent="0.3">
      <c r="C8" t="s">
        <v>37</v>
      </c>
      <c r="E8">
        <v>375</v>
      </c>
      <c r="K8">
        <f>83-18</f>
        <v>65</v>
      </c>
      <c r="Q8">
        <f t="shared" si="1"/>
        <v>440</v>
      </c>
      <c r="U8" t="s">
        <v>89</v>
      </c>
      <c r="V8">
        <v>-94</v>
      </c>
    </row>
    <row r="9" spans="1:22" ht="14.5" x14ac:dyDescent="0.35">
      <c r="B9" s="7" t="s">
        <v>10</v>
      </c>
      <c r="C9" s="7"/>
      <c r="D9" s="7"/>
      <c r="E9" s="7">
        <f>SUM(E4:E8)</f>
        <v>2390</v>
      </c>
      <c r="F9" s="7">
        <f t="shared" ref="F9:Q9" si="2">SUM(F4:F8)</f>
        <v>1150</v>
      </c>
      <c r="G9" s="7">
        <f t="shared" si="2"/>
        <v>55</v>
      </c>
      <c r="H9" s="7">
        <f t="shared" si="2"/>
        <v>-435</v>
      </c>
      <c r="I9" s="7">
        <f t="shared" si="2"/>
        <v>-265</v>
      </c>
      <c r="J9" s="7">
        <f t="shared" si="2"/>
        <v>-90</v>
      </c>
      <c r="K9" s="7">
        <f t="shared" si="2"/>
        <v>-18</v>
      </c>
      <c r="L9" s="7">
        <f t="shared" si="2"/>
        <v>-72</v>
      </c>
      <c r="M9" s="7">
        <f t="shared" si="2"/>
        <v>-94</v>
      </c>
      <c r="N9" s="7">
        <f t="shared" si="2"/>
        <v>50</v>
      </c>
      <c r="O9" s="7">
        <f t="shared" si="2"/>
        <v>-30</v>
      </c>
      <c r="P9" s="7">
        <f t="shared" si="2"/>
        <v>-62</v>
      </c>
      <c r="Q9" s="7">
        <f t="shared" si="2"/>
        <v>2579</v>
      </c>
      <c r="U9" s="7" t="s">
        <v>82</v>
      </c>
      <c r="V9" s="7">
        <f>SUM(V5:V8)</f>
        <v>436</v>
      </c>
    </row>
    <row r="10" spans="1:22" ht="14.5" x14ac:dyDescent="0.35">
      <c r="T10" s="5" t="s">
        <v>90</v>
      </c>
    </row>
    <row r="11" spans="1:22" x14ac:dyDescent="0.3">
      <c r="C11" t="s">
        <v>12</v>
      </c>
      <c r="E11">
        <v>230</v>
      </c>
      <c r="G11">
        <f>400</f>
        <v>400</v>
      </c>
      <c r="H11">
        <f>-435</f>
        <v>-435</v>
      </c>
      <c r="Q11">
        <f>SUM(E11:P11)</f>
        <v>195</v>
      </c>
      <c r="U11" t="s">
        <v>91</v>
      </c>
      <c r="V11">
        <v>-180</v>
      </c>
    </row>
    <row r="12" spans="1:22" x14ac:dyDescent="0.3">
      <c r="C12" t="s">
        <v>29</v>
      </c>
      <c r="E12">
        <v>100</v>
      </c>
      <c r="Q12">
        <f t="shared" ref="Q12:Q16" si="3">SUM(E12:P12)</f>
        <v>100</v>
      </c>
      <c r="U12" t="s">
        <v>92</v>
      </c>
      <c r="V12">
        <v>-83</v>
      </c>
    </row>
    <row r="13" spans="1:22" x14ac:dyDescent="0.3">
      <c r="C13" t="s">
        <v>17</v>
      </c>
      <c r="E13">
        <v>1100</v>
      </c>
      <c r="O13">
        <f>350-380</f>
        <v>-30</v>
      </c>
      <c r="Q13">
        <f t="shared" si="3"/>
        <v>1070</v>
      </c>
      <c r="U13" t="s">
        <v>93</v>
      </c>
      <c r="V13">
        <v>0</v>
      </c>
    </row>
    <row r="14" spans="1:22" ht="14.5" x14ac:dyDescent="0.35">
      <c r="C14" t="s">
        <v>13</v>
      </c>
      <c r="E14">
        <v>165</v>
      </c>
      <c r="N14">
        <v>2</v>
      </c>
      <c r="Q14">
        <f t="shared" si="3"/>
        <v>167</v>
      </c>
      <c r="U14" s="7" t="s">
        <v>83</v>
      </c>
      <c r="V14" s="7">
        <f>SUM(V11:V13)</f>
        <v>-263</v>
      </c>
    </row>
    <row r="15" spans="1:22" ht="14.5" x14ac:dyDescent="0.35">
      <c r="C15" t="s">
        <v>14</v>
      </c>
      <c r="E15">
        <v>85</v>
      </c>
      <c r="N15">
        <v>48</v>
      </c>
      <c r="Q15">
        <f t="shared" si="3"/>
        <v>133</v>
      </c>
      <c r="T15" s="5" t="s">
        <v>94</v>
      </c>
    </row>
    <row r="16" spans="1:22" x14ac:dyDescent="0.3">
      <c r="C16" t="s">
        <v>15</v>
      </c>
      <c r="E16">
        <v>710</v>
      </c>
      <c r="F16">
        <f>F30</f>
        <v>1150</v>
      </c>
      <c r="G16">
        <f t="shared" ref="G16:P16" si="4">G30</f>
        <v>-345</v>
      </c>
      <c r="H16">
        <f t="shared" si="4"/>
        <v>0</v>
      </c>
      <c r="I16">
        <f t="shared" si="4"/>
        <v>-265</v>
      </c>
      <c r="J16">
        <f t="shared" si="4"/>
        <v>-90</v>
      </c>
      <c r="K16">
        <f t="shared" si="4"/>
        <v>-18</v>
      </c>
      <c r="L16">
        <f t="shared" si="4"/>
        <v>-72</v>
      </c>
      <c r="M16">
        <f t="shared" si="4"/>
        <v>-94</v>
      </c>
      <c r="N16">
        <f t="shared" si="4"/>
        <v>0</v>
      </c>
      <c r="O16">
        <f t="shared" si="4"/>
        <v>0</v>
      </c>
      <c r="P16">
        <f t="shared" si="4"/>
        <v>-62</v>
      </c>
      <c r="Q16">
        <f t="shared" si="3"/>
        <v>914</v>
      </c>
      <c r="U16" t="s">
        <v>95</v>
      </c>
      <c r="V16">
        <f>350-380</f>
        <v>-30</v>
      </c>
    </row>
    <row r="17" spans="1:22" ht="14.5" x14ac:dyDescent="0.35">
      <c r="B17" s="7" t="s">
        <v>16</v>
      </c>
      <c r="C17" s="7"/>
      <c r="D17" s="7"/>
      <c r="E17" s="7">
        <f>SUM(E11:E16)</f>
        <v>2390</v>
      </c>
      <c r="F17" s="7">
        <f t="shared" ref="F17:Q17" si="5">SUM(F11:F16)</f>
        <v>1150</v>
      </c>
      <c r="G17" s="7">
        <f t="shared" si="5"/>
        <v>55</v>
      </c>
      <c r="H17" s="7">
        <f t="shared" si="5"/>
        <v>-435</v>
      </c>
      <c r="I17" s="7">
        <f t="shared" si="5"/>
        <v>-265</v>
      </c>
      <c r="J17" s="7">
        <f t="shared" si="5"/>
        <v>-90</v>
      </c>
      <c r="K17" s="7">
        <f t="shared" si="5"/>
        <v>-18</v>
      </c>
      <c r="L17" s="7">
        <f t="shared" si="5"/>
        <v>-72</v>
      </c>
      <c r="M17" s="7">
        <f t="shared" si="5"/>
        <v>-94</v>
      </c>
      <c r="N17" s="7">
        <f t="shared" si="5"/>
        <v>50</v>
      </c>
      <c r="O17" s="7">
        <f t="shared" si="5"/>
        <v>-30</v>
      </c>
      <c r="P17" s="7">
        <f t="shared" si="5"/>
        <v>-62</v>
      </c>
      <c r="Q17" s="7">
        <f t="shared" si="5"/>
        <v>2579</v>
      </c>
      <c r="U17" t="s">
        <v>96</v>
      </c>
      <c r="V17">
        <v>50</v>
      </c>
    </row>
    <row r="18" spans="1:22" x14ac:dyDescent="0.3">
      <c r="U18" t="s">
        <v>97</v>
      </c>
      <c r="V18">
        <v>-72</v>
      </c>
    </row>
    <row r="19" spans="1:22" x14ac:dyDescent="0.3">
      <c r="C19" t="s">
        <v>28</v>
      </c>
      <c r="E19">
        <f>E9-E17</f>
        <v>0</v>
      </c>
      <c r="F19">
        <f t="shared" ref="F19:Q19" si="6">F9-F17</f>
        <v>0</v>
      </c>
      <c r="G19">
        <f t="shared" si="6"/>
        <v>0</v>
      </c>
      <c r="H19">
        <f t="shared" si="6"/>
        <v>0</v>
      </c>
      <c r="I19">
        <f t="shared" si="6"/>
        <v>0</v>
      </c>
      <c r="J19">
        <f t="shared" si="6"/>
        <v>0</v>
      </c>
      <c r="K19">
        <f t="shared" si="6"/>
        <v>0</v>
      </c>
      <c r="L19">
        <f t="shared" si="6"/>
        <v>0</v>
      </c>
      <c r="M19">
        <f t="shared" si="6"/>
        <v>0</v>
      </c>
      <c r="N19">
        <f t="shared" si="6"/>
        <v>0</v>
      </c>
      <c r="P19">
        <f t="shared" si="6"/>
        <v>0</v>
      </c>
      <c r="Q19">
        <f t="shared" si="6"/>
        <v>0</v>
      </c>
      <c r="U19" t="s">
        <v>98</v>
      </c>
      <c r="V19">
        <v>-62</v>
      </c>
    </row>
    <row r="20" spans="1:22" ht="14.5" x14ac:dyDescent="0.35">
      <c r="U20" s="7" t="s">
        <v>99</v>
      </c>
      <c r="V20" s="7">
        <f>SUM(V16:V19)</f>
        <v>-114</v>
      </c>
    </row>
    <row r="21" spans="1:22" ht="14.5" x14ac:dyDescent="0.35">
      <c r="A21" s="5" t="s">
        <v>0</v>
      </c>
    </row>
    <row r="22" spans="1:22" x14ac:dyDescent="0.3">
      <c r="C22" t="s">
        <v>5</v>
      </c>
      <c r="F22">
        <v>1150</v>
      </c>
      <c r="Q22">
        <f>SUM(E22:P22)</f>
        <v>1150</v>
      </c>
      <c r="U22" t="s">
        <v>100</v>
      </c>
      <c r="V22">
        <f>V20+V14+V9</f>
        <v>59</v>
      </c>
    </row>
    <row r="23" spans="1:22" x14ac:dyDescent="0.3">
      <c r="C23" t="s">
        <v>18</v>
      </c>
      <c r="G23">
        <v>-345</v>
      </c>
      <c r="Q23">
        <f t="shared" ref="Q23:Q29" si="7">SUM(E23:P23)</f>
        <v>-345</v>
      </c>
      <c r="U23" t="s">
        <v>101</v>
      </c>
      <c r="V23">
        <v>80</v>
      </c>
    </row>
    <row r="24" spans="1:22" ht="14.5" x14ac:dyDescent="0.35">
      <c r="C24" t="s">
        <v>19</v>
      </c>
      <c r="I24">
        <f>-265</f>
        <v>-265</v>
      </c>
      <c r="Q24">
        <f t="shared" si="7"/>
        <v>-265</v>
      </c>
      <c r="U24" s="7" t="s">
        <v>102</v>
      </c>
      <c r="V24" s="7">
        <f>SUM(V22:V23)</f>
        <v>139</v>
      </c>
    </row>
    <row r="25" spans="1:22" x14ac:dyDescent="0.3">
      <c r="C25" t="s">
        <v>20</v>
      </c>
      <c r="J25">
        <f>-90</f>
        <v>-90</v>
      </c>
      <c r="K25">
        <v>-18</v>
      </c>
      <c r="Q25">
        <f t="shared" si="7"/>
        <v>-108</v>
      </c>
    </row>
    <row r="26" spans="1:22" x14ac:dyDescent="0.3">
      <c r="C26" t="s">
        <v>21</v>
      </c>
      <c r="L26">
        <v>-72</v>
      </c>
      <c r="Q26">
        <f t="shared" si="7"/>
        <v>-72</v>
      </c>
    </row>
    <row r="27" spans="1:22" x14ac:dyDescent="0.3">
      <c r="C27" t="s">
        <v>22</v>
      </c>
      <c r="M27">
        <v>-94</v>
      </c>
      <c r="Q27">
        <f t="shared" si="7"/>
        <v>-94</v>
      </c>
    </row>
    <row r="28" spans="1:22" ht="14.5" x14ac:dyDescent="0.35">
      <c r="B28" s="7" t="s">
        <v>23</v>
      </c>
      <c r="C28" s="7"/>
      <c r="D28" s="7"/>
      <c r="E28" s="7">
        <f>SUM(E22:E27)</f>
        <v>0</v>
      </c>
      <c r="F28" s="7">
        <f t="shared" ref="F28:Q28" si="8">SUM(F22:F27)</f>
        <v>1150</v>
      </c>
      <c r="G28" s="7">
        <f t="shared" si="8"/>
        <v>-345</v>
      </c>
      <c r="H28" s="7">
        <f t="shared" si="8"/>
        <v>0</v>
      </c>
      <c r="I28" s="7">
        <f t="shared" si="8"/>
        <v>-265</v>
      </c>
      <c r="J28" s="7">
        <f t="shared" si="8"/>
        <v>-90</v>
      </c>
      <c r="K28" s="7">
        <f t="shared" si="8"/>
        <v>-18</v>
      </c>
      <c r="L28" s="7">
        <f>SUM(L23:L27)</f>
        <v>-72</v>
      </c>
      <c r="M28" s="7">
        <f t="shared" si="8"/>
        <v>-94</v>
      </c>
      <c r="N28" s="7">
        <f t="shared" si="8"/>
        <v>0</v>
      </c>
      <c r="O28" s="7">
        <f t="shared" si="8"/>
        <v>0</v>
      </c>
      <c r="P28" s="7">
        <f t="shared" si="8"/>
        <v>0</v>
      </c>
      <c r="Q28" s="7">
        <f t="shared" si="8"/>
        <v>266</v>
      </c>
    </row>
    <row r="29" spans="1:22" x14ac:dyDescent="0.3">
      <c r="C29" t="s">
        <v>24</v>
      </c>
      <c r="P29">
        <v>-62</v>
      </c>
      <c r="Q29">
        <f t="shared" si="7"/>
        <v>-62</v>
      </c>
    </row>
    <row r="30" spans="1:22" ht="14.5" x14ac:dyDescent="0.35">
      <c r="B30" s="7" t="s">
        <v>25</v>
      </c>
      <c r="C30" s="7"/>
      <c r="D30" s="7"/>
      <c r="E30" s="7">
        <f>SUM(E28:E29)</f>
        <v>0</v>
      </c>
      <c r="F30" s="7">
        <f t="shared" ref="F30:Q30" si="9">SUM(F28:F29)</f>
        <v>1150</v>
      </c>
      <c r="G30" s="7">
        <f t="shared" si="9"/>
        <v>-345</v>
      </c>
      <c r="H30" s="7">
        <f t="shared" si="9"/>
        <v>0</v>
      </c>
      <c r="I30" s="7">
        <f t="shared" si="9"/>
        <v>-265</v>
      </c>
      <c r="J30" s="7">
        <f t="shared" si="9"/>
        <v>-90</v>
      </c>
      <c r="K30" s="7">
        <f t="shared" si="9"/>
        <v>-18</v>
      </c>
      <c r="L30" s="7">
        <f t="shared" si="9"/>
        <v>-72</v>
      </c>
      <c r="M30" s="7">
        <f t="shared" si="9"/>
        <v>-94</v>
      </c>
      <c r="N30" s="7">
        <f t="shared" si="9"/>
        <v>0</v>
      </c>
      <c r="O30" s="7">
        <f t="shared" si="9"/>
        <v>0</v>
      </c>
      <c r="P30" s="7">
        <f t="shared" si="9"/>
        <v>-62</v>
      </c>
      <c r="Q30" s="7">
        <f t="shared" si="9"/>
        <v>204</v>
      </c>
    </row>
    <row r="32" spans="1:22" x14ac:dyDescent="0.3">
      <c r="C32" t="s">
        <v>31</v>
      </c>
      <c r="Q32" s="9">
        <f>Q22+Q23</f>
        <v>805</v>
      </c>
    </row>
    <row r="33" spans="3:17" x14ac:dyDescent="0.3">
      <c r="C33" t="s">
        <v>32</v>
      </c>
      <c r="Q33" s="9">
        <f>Q32+Q24</f>
        <v>540</v>
      </c>
    </row>
    <row r="34" spans="3:17" x14ac:dyDescent="0.3">
      <c r="C34" t="s">
        <v>33</v>
      </c>
      <c r="Q34" s="9">
        <f>Q33+Q25</f>
        <v>432</v>
      </c>
    </row>
    <row r="35" spans="3:17" x14ac:dyDescent="0.3">
      <c r="C35" t="s">
        <v>23</v>
      </c>
      <c r="Q35" s="9">
        <f>Q34+Q26+Q27</f>
        <v>266</v>
      </c>
    </row>
    <row r="37" spans="3:17" x14ac:dyDescent="0.3">
      <c r="C37" t="s">
        <v>41</v>
      </c>
      <c r="E37">
        <f>SUM(E4:E6)</f>
        <v>690</v>
      </c>
      <c r="Q37">
        <f>SUM(Q4:Q6)</f>
        <v>724</v>
      </c>
    </row>
    <row r="38" spans="3:17" x14ac:dyDescent="0.3">
      <c r="C38" t="s">
        <v>42</v>
      </c>
      <c r="E38">
        <f>SUM(E7:E8)</f>
        <v>1700</v>
      </c>
      <c r="Q38">
        <f>SUM(Q7:Q8)</f>
        <v>1855</v>
      </c>
    </row>
    <row r="40" spans="3:17" x14ac:dyDescent="0.3">
      <c r="C40" t="s">
        <v>43</v>
      </c>
      <c r="E40">
        <f>SUM(E11:E12)</f>
        <v>330</v>
      </c>
      <c r="Q40">
        <f>SUM(Q11:Q12)</f>
        <v>295</v>
      </c>
    </row>
    <row r="41" spans="3:17" x14ac:dyDescent="0.3">
      <c r="C41" t="s">
        <v>44</v>
      </c>
      <c r="E41">
        <f>SUM(E13)</f>
        <v>1100</v>
      </c>
      <c r="Q41">
        <f>SUM(Q13)</f>
        <v>1070</v>
      </c>
    </row>
    <row r="43" spans="3:17" x14ac:dyDescent="0.3">
      <c r="C43" t="s">
        <v>45</v>
      </c>
      <c r="E43">
        <f>SUM(E14:E16)</f>
        <v>960</v>
      </c>
      <c r="Q43">
        <f>SUM(Q14:Q16)</f>
        <v>1214</v>
      </c>
    </row>
  </sheetData>
  <conditionalFormatting sqref="C2">
    <cfRule type="containsText" dxfId="7" priority="1" operator="containsText" text="error">
      <formula>NOT(ISERROR(SEARCH("error",C2)))</formula>
    </cfRule>
    <cfRule type="containsText" dxfId="6" priority="2" operator="containsText" text="ok">
      <formula>NOT(ISERROR(SEARCH("ok",C2)))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9"/>
  <sheetViews>
    <sheetView zoomScale="125" zoomScaleNormal="125" workbookViewId="0">
      <pane xSplit="4" ySplit="3" topLeftCell="E4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3" outlineLevelCol="1" x14ac:dyDescent="0.3"/>
  <cols>
    <col min="1" max="2" width="1.69921875" customWidth="1"/>
    <col min="3" max="3" width="27.3984375" customWidth="1"/>
    <col min="4" max="4" width="1.69921875" customWidth="1"/>
    <col min="6" max="7" width="9.8984375" customWidth="1" outlineLevel="1"/>
    <col min="8" max="8" width="11.296875" customWidth="1" outlineLevel="1"/>
    <col min="9" max="10" width="9.8984375" customWidth="1" outlineLevel="1"/>
    <col min="11" max="11" width="10.8984375" customWidth="1" outlineLevel="1"/>
    <col min="12" max="12" width="11.296875" customWidth="1" outlineLevel="1"/>
    <col min="13" max="13" width="9.8984375" customWidth="1" outlineLevel="1"/>
    <col min="14" max="15" width="9.09765625" customWidth="1" outlineLevel="1"/>
    <col min="16" max="16" width="9.8984375" customWidth="1" outlineLevel="1"/>
    <col min="17" max="17" width="11.296875" customWidth="1"/>
    <col min="18" max="20" width="1.69921875" customWidth="1"/>
    <col min="21" max="21" width="31" customWidth="1"/>
  </cols>
  <sheetData>
    <row r="1" spans="1:28" ht="14.5" x14ac:dyDescent="0.35">
      <c r="C1" s="1" t="s">
        <v>34</v>
      </c>
    </row>
    <row r="2" spans="1:28" x14ac:dyDescent="0.3">
      <c r="C2" t="str">
        <f>IF(SUM(E19:Q19)=0,"OK","Error")</f>
        <v>OK</v>
      </c>
    </row>
    <row r="3" spans="1:28" ht="14.5" x14ac:dyDescent="0.35">
      <c r="A3" s="5" t="s">
        <v>1</v>
      </c>
      <c r="E3" s="2">
        <v>0</v>
      </c>
      <c r="F3" s="2">
        <f>E3+1</f>
        <v>1</v>
      </c>
      <c r="G3" s="2">
        <f t="shared" ref="G3:P3" si="0">F3+1</f>
        <v>2</v>
      </c>
      <c r="H3" s="2">
        <f t="shared" si="0"/>
        <v>3</v>
      </c>
      <c r="I3" s="2">
        <f t="shared" si="0"/>
        <v>4</v>
      </c>
      <c r="J3" s="2">
        <f t="shared" si="0"/>
        <v>5</v>
      </c>
      <c r="K3" s="2">
        <f t="shared" si="0"/>
        <v>6</v>
      </c>
      <c r="L3" s="2">
        <f t="shared" si="0"/>
        <v>7</v>
      </c>
      <c r="M3" s="2">
        <f t="shared" si="0"/>
        <v>8</v>
      </c>
      <c r="N3" s="2">
        <f t="shared" si="0"/>
        <v>9</v>
      </c>
      <c r="O3" s="2">
        <f t="shared" si="0"/>
        <v>10</v>
      </c>
      <c r="P3" s="2">
        <f t="shared" si="0"/>
        <v>11</v>
      </c>
      <c r="Q3" s="2" t="s">
        <v>11</v>
      </c>
      <c r="S3" t="s">
        <v>84</v>
      </c>
    </row>
    <row r="4" spans="1:28" ht="14.5" x14ac:dyDescent="0.35">
      <c r="C4" t="s">
        <v>6</v>
      </c>
      <c r="E4">
        <v>80</v>
      </c>
      <c r="F4">
        <v>1230</v>
      </c>
      <c r="H4">
        <f>-435</f>
        <v>-435</v>
      </c>
      <c r="I4">
        <f>-265</f>
        <v>-265</v>
      </c>
      <c r="J4">
        <v>-180</v>
      </c>
      <c r="K4">
        <v>-83</v>
      </c>
      <c r="L4">
        <v>-72</v>
      </c>
      <c r="M4">
        <v>-94</v>
      </c>
      <c r="N4">
        <v>50</v>
      </c>
      <c r="O4">
        <f>350-380</f>
        <v>-30</v>
      </c>
      <c r="P4">
        <v>-62</v>
      </c>
      <c r="Q4">
        <f>SUM(E4:P4)</f>
        <v>139</v>
      </c>
      <c r="T4" s="5" t="s">
        <v>85</v>
      </c>
    </row>
    <row r="5" spans="1:28" x14ac:dyDescent="0.3">
      <c r="C5" t="s">
        <v>7</v>
      </c>
      <c r="E5">
        <v>290</v>
      </c>
      <c r="F5">
        <f>1150-1230</f>
        <v>-80</v>
      </c>
      <c r="Q5">
        <f t="shared" ref="Q5:Q8" si="1">SUM(E5:P5)</f>
        <v>210</v>
      </c>
      <c r="U5" t="s">
        <v>135</v>
      </c>
      <c r="V5" s="11">
        <f>Q28</f>
        <v>266</v>
      </c>
    </row>
    <row r="6" spans="1:28" x14ac:dyDescent="0.3">
      <c r="C6" t="s">
        <v>8</v>
      </c>
      <c r="E6">
        <v>320</v>
      </c>
      <c r="G6">
        <f>400-345</f>
        <v>55</v>
      </c>
      <c r="Q6">
        <f t="shared" si="1"/>
        <v>375</v>
      </c>
      <c r="U6" t="s">
        <v>136</v>
      </c>
      <c r="V6" s="11">
        <f>-Q25</f>
        <v>108</v>
      </c>
      <c r="W6" t="s">
        <v>137</v>
      </c>
    </row>
    <row r="7" spans="1:28" x14ac:dyDescent="0.3">
      <c r="C7" t="s">
        <v>9</v>
      </c>
      <c r="E7">
        <v>1325</v>
      </c>
      <c r="J7">
        <f>180-90</f>
        <v>90</v>
      </c>
      <c r="Q7">
        <f t="shared" si="1"/>
        <v>1415</v>
      </c>
      <c r="U7" t="s">
        <v>138</v>
      </c>
      <c r="V7" s="11">
        <f>-Q26</f>
        <v>72</v>
      </c>
      <c r="W7" t="s">
        <v>146</v>
      </c>
    </row>
    <row r="8" spans="1:28" x14ac:dyDescent="0.3">
      <c r="C8" t="s">
        <v>37</v>
      </c>
      <c r="E8">
        <v>375</v>
      </c>
      <c r="K8">
        <f>83-18</f>
        <v>65</v>
      </c>
      <c r="Q8">
        <f t="shared" si="1"/>
        <v>440</v>
      </c>
      <c r="U8" t="s">
        <v>139</v>
      </c>
      <c r="V8" s="11">
        <f>E5-Q5</f>
        <v>80</v>
      </c>
      <c r="W8" t="s">
        <v>140</v>
      </c>
    </row>
    <row r="9" spans="1:28" ht="14.5" x14ac:dyDescent="0.35">
      <c r="B9" s="7" t="s">
        <v>10</v>
      </c>
      <c r="C9" s="7"/>
      <c r="D9" s="7"/>
      <c r="E9" s="7">
        <f>SUM(E4:E8)</f>
        <v>2390</v>
      </c>
      <c r="F9" s="7">
        <f t="shared" ref="F9:Q9" si="2">SUM(F4:F8)</f>
        <v>1150</v>
      </c>
      <c r="G9" s="7">
        <f t="shared" si="2"/>
        <v>55</v>
      </c>
      <c r="H9" s="7">
        <f t="shared" si="2"/>
        <v>-435</v>
      </c>
      <c r="I9" s="7">
        <f t="shared" si="2"/>
        <v>-265</v>
      </c>
      <c r="J9" s="7">
        <f t="shared" si="2"/>
        <v>-90</v>
      </c>
      <c r="K9" s="7">
        <f t="shared" si="2"/>
        <v>-18</v>
      </c>
      <c r="L9" s="7">
        <f t="shared" si="2"/>
        <v>-72</v>
      </c>
      <c r="M9" s="7">
        <f t="shared" si="2"/>
        <v>-94</v>
      </c>
      <c r="N9" s="7">
        <f t="shared" si="2"/>
        <v>50</v>
      </c>
      <c r="O9" s="7">
        <f t="shared" si="2"/>
        <v>-30</v>
      </c>
      <c r="P9" s="7">
        <f t="shared" si="2"/>
        <v>-62</v>
      </c>
      <c r="Q9" s="7">
        <f t="shared" si="2"/>
        <v>2579</v>
      </c>
      <c r="U9" t="s">
        <v>141</v>
      </c>
      <c r="V9" s="11">
        <f>E6-Q6</f>
        <v>-55</v>
      </c>
      <c r="W9" t="s">
        <v>142</v>
      </c>
    </row>
    <row r="10" spans="1:28" ht="14.5" x14ac:dyDescent="0.35">
      <c r="T10" s="5"/>
      <c r="U10" t="s">
        <v>143</v>
      </c>
      <c r="V10" s="11">
        <f>Q11-E11</f>
        <v>-35</v>
      </c>
      <c r="W10" t="s">
        <v>144</v>
      </c>
    </row>
    <row r="11" spans="1:28" ht="14.5" x14ac:dyDescent="0.35">
      <c r="C11" t="s">
        <v>12</v>
      </c>
      <c r="E11">
        <v>230</v>
      </c>
      <c r="G11">
        <f>400</f>
        <v>400</v>
      </c>
      <c r="H11">
        <f>-435</f>
        <v>-435</v>
      </c>
      <c r="Q11">
        <f>SUM(E11:P11)</f>
        <v>195</v>
      </c>
      <c r="U11" s="7" t="s">
        <v>145</v>
      </c>
      <c r="V11" s="12">
        <f>SUM(V5:V10)</f>
        <v>436</v>
      </c>
    </row>
    <row r="12" spans="1:28" ht="14.5" x14ac:dyDescent="0.35">
      <c r="C12" t="s">
        <v>29</v>
      </c>
      <c r="E12">
        <v>100</v>
      </c>
      <c r="Q12">
        <f t="shared" ref="Q12:Q16" si="3">SUM(E12:P12)</f>
        <v>100</v>
      </c>
      <c r="T12" s="5" t="s">
        <v>90</v>
      </c>
      <c r="X12" t="s">
        <v>26</v>
      </c>
      <c r="Y12">
        <v>1325</v>
      </c>
      <c r="AA12" t="s">
        <v>26</v>
      </c>
      <c r="AB12">
        <v>375</v>
      </c>
    </row>
    <row r="13" spans="1:28" x14ac:dyDescent="0.3">
      <c r="C13" t="s">
        <v>17</v>
      </c>
      <c r="E13">
        <v>1100</v>
      </c>
      <c r="O13">
        <f>350-380</f>
        <v>-30</v>
      </c>
      <c r="Q13">
        <f t="shared" si="3"/>
        <v>1070</v>
      </c>
      <c r="U13" t="s">
        <v>166</v>
      </c>
      <c r="V13">
        <f>-Y17</f>
        <v>-180</v>
      </c>
      <c r="X13" t="s">
        <v>2</v>
      </c>
      <c r="AA13" t="s">
        <v>2</v>
      </c>
    </row>
    <row r="14" spans="1:28" x14ac:dyDescent="0.3">
      <c r="C14" t="s">
        <v>13</v>
      </c>
      <c r="E14">
        <v>165</v>
      </c>
      <c r="N14">
        <v>2</v>
      </c>
      <c r="Q14">
        <f t="shared" si="3"/>
        <v>167</v>
      </c>
      <c r="U14" t="s">
        <v>167</v>
      </c>
      <c r="V14">
        <v>-83</v>
      </c>
      <c r="X14" t="s">
        <v>27</v>
      </c>
      <c r="Y14">
        <v>-90</v>
      </c>
      <c r="AA14" t="s">
        <v>27</v>
      </c>
      <c r="AB14">
        <v>-18</v>
      </c>
    </row>
    <row r="15" spans="1:28" ht="14.5" x14ac:dyDescent="0.35">
      <c r="C15" t="s">
        <v>14</v>
      </c>
      <c r="E15">
        <v>85</v>
      </c>
      <c r="N15">
        <v>48</v>
      </c>
      <c r="Q15">
        <f t="shared" si="3"/>
        <v>133</v>
      </c>
      <c r="T15" s="5"/>
      <c r="U15" t="s">
        <v>180</v>
      </c>
      <c r="V15">
        <v>0</v>
      </c>
      <c r="X15" s="7" t="s">
        <v>3</v>
      </c>
      <c r="Y15" s="7">
        <f>SUM(Y12:Y14)</f>
        <v>1235</v>
      </c>
      <c r="AA15" s="7" t="s">
        <v>3</v>
      </c>
      <c r="AB15" s="7">
        <f>SUM(AB12:AB14)</f>
        <v>357</v>
      </c>
    </row>
    <row r="16" spans="1:28" ht="14.5" x14ac:dyDescent="0.35">
      <c r="C16" t="s">
        <v>15</v>
      </c>
      <c r="E16">
        <v>710</v>
      </c>
      <c r="F16">
        <f>F30</f>
        <v>1150</v>
      </c>
      <c r="G16">
        <f t="shared" ref="G16:P16" si="4">G30</f>
        <v>-345</v>
      </c>
      <c r="H16">
        <f t="shared" si="4"/>
        <v>0</v>
      </c>
      <c r="I16">
        <f t="shared" si="4"/>
        <v>-265</v>
      </c>
      <c r="J16">
        <f t="shared" si="4"/>
        <v>-90</v>
      </c>
      <c r="K16">
        <f t="shared" si="4"/>
        <v>-18</v>
      </c>
      <c r="L16">
        <f t="shared" si="4"/>
        <v>-72</v>
      </c>
      <c r="M16">
        <f t="shared" si="4"/>
        <v>-94</v>
      </c>
      <c r="N16">
        <f t="shared" si="4"/>
        <v>0</v>
      </c>
      <c r="O16">
        <f t="shared" si="4"/>
        <v>0</v>
      </c>
      <c r="P16">
        <f t="shared" si="4"/>
        <v>-62</v>
      </c>
      <c r="Q16">
        <f t="shared" si="3"/>
        <v>914</v>
      </c>
      <c r="U16" s="7" t="s">
        <v>181</v>
      </c>
      <c r="V16" s="7">
        <f>SUM(V13:V15)</f>
        <v>-263</v>
      </c>
      <c r="X16" t="s">
        <v>179</v>
      </c>
      <c r="Y16">
        <v>1415</v>
      </c>
      <c r="AA16" t="s">
        <v>179</v>
      </c>
      <c r="AB16">
        <v>440</v>
      </c>
    </row>
    <row r="17" spans="1:28" ht="14.5" x14ac:dyDescent="0.35">
      <c r="B17" s="7" t="s">
        <v>16</v>
      </c>
      <c r="C17" s="7"/>
      <c r="D17" s="7"/>
      <c r="E17" s="7">
        <f>SUM(E11:E16)</f>
        <v>2390</v>
      </c>
      <c r="F17" s="7">
        <f t="shared" ref="F17:Q17" si="5">SUM(F11:F16)</f>
        <v>1150</v>
      </c>
      <c r="G17" s="7">
        <f t="shared" si="5"/>
        <v>55</v>
      </c>
      <c r="H17" s="7">
        <f t="shared" si="5"/>
        <v>-435</v>
      </c>
      <c r="I17" s="7">
        <f t="shared" si="5"/>
        <v>-265</v>
      </c>
      <c r="J17" s="7">
        <f t="shared" si="5"/>
        <v>-90</v>
      </c>
      <c r="K17" s="7">
        <f t="shared" si="5"/>
        <v>-18</v>
      </c>
      <c r="L17" s="7">
        <f t="shared" si="5"/>
        <v>-72</v>
      </c>
      <c r="M17" s="7">
        <f t="shared" si="5"/>
        <v>-94</v>
      </c>
      <c r="N17" s="7">
        <f t="shared" si="5"/>
        <v>50</v>
      </c>
      <c r="O17" s="7">
        <f t="shared" si="5"/>
        <v>-30</v>
      </c>
      <c r="P17" s="7">
        <f t="shared" si="5"/>
        <v>-62</v>
      </c>
      <c r="Q17" s="7">
        <f t="shared" si="5"/>
        <v>2579</v>
      </c>
      <c r="T17" s="5" t="s">
        <v>94</v>
      </c>
      <c r="X17" t="s">
        <v>172</v>
      </c>
      <c r="Y17">
        <f>Y16-Y15</f>
        <v>180</v>
      </c>
      <c r="AA17" t="s">
        <v>172</v>
      </c>
      <c r="AB17">
        <f>AB16-AB15</f>
        <v>83</v>
      </c>
    </row>
    <row r="18" spans="1:28" x14ac:dyDescent="0.3">
      <c r="U18" t="s">
        <v>97</v>
      </c>
      <c r="V18">
        <f>Q26</f>
        <v>-72</v>
      </c>
    </row>
    <row r="19" spans="1:28" x14ac:dyDescent="0.3">
      <c r="C19" t="s">
        <v>28</v>
      </c>
      <c r="E19">
        <f>E9-E17</f>
        <v>0</v>
      </c>
      <c r="F19">
        <f t="shared" ref="F19:Q19" si="6">F9-F17</f>
        <v>0</v>
      </c>
      <c r="G19">
        <f t="shared" si="6"/>
        <v>0</v>
      </c>
      <c r="H19">
        <f t="shared" si="6"/>
        <v>0</v>
      </c>
      <c r="I19">
        <f t="shared" si="6"/>
        <v>0</v>
      </c>
      <c r="J19">
        <f t="shared" si="6"/>
        <v>0</v>
      </c>
      <c r="K19">
        <f t="shared" si="6"/>
        <v>0</v>
      </c>
      <c r="L19">
        <f t="shared" si="6"/>
        <v>0</v>
      </c>
      <c r="M19">
        <f t="shared" si="6"/>
        <v>0</v>
      </c>
      <c r="N19">
        <f t="shared" si="6"/>
        <v>0</v>
      </c>
      <c r="P19">
        <f t="shared" si="6"/>
        <v>0</v>
      </c>
      <c r="Q19">
        <f t="shared" si="6"/>
        <v>0</v>
      </c>
      <c r="U19" t="s">
        <v>98</v>
      </c>
      <c r="V19">
        <f>Q29</f>
        <v>-62</v>
      </c>
    </row>
    <row r="20" spans="1:28" x14ac:dyDescent="0.3">
      <c r="U20" t="s">
        <v>174</v>
      </c>
      <c r="V20">
        <f>Q13-E13</f>
        <v>-30</v>
      </c>
    </row>
    <row r="21" spans="1:28" ht="14.5" x14ac:dyDescent="0.35">
      <c r="A21" s="5" t="s">
        <v>0</v>
      </c>
      <c r="U21" t="s">
        <v>182</v>
      </c>
      <c r="V21">
        <f>SUM(Q14:Q15)-SUM(E14:E15)</f>
        <v>50</v>
      </c>
    </row>
    <row r="22" spans="1:28" ht="14.5" x14ac:dyDescent="0.35">
      <c r="C22" t="s">
        <v>5</v>
      </c>
      <c r="F22">
        <v>1150</v>
      </c>
      <c r="Q22">
        <f>SUM(E22:P22)</f>
        <v>1150</v>
      </c>
      <c r="U22" s="7" t="s">
        <v>183</v>
      </c>
      <c r="V22" s="7">
        <f>SUM(V18:V21)</f>
        <v>-114</v>
      </c>
    </row>
    <row r="23" spans="1:28" x14ac:dyDescent="0.3">
      <c r="C23" t="s">
        <v>18</v>
      </c>
      <c r="G23">
        <v>-345</v>
      </c>
      <c r="Q23">
        <f t="shared" ref="Q23:Q29" si="7">SUM(E23:P23)</f>
        <v>-345</v>
      </c>
    </row>
    <row r="24" spans="1:28" x14ac:dyDescent="0.3">
      <c r="C24" t="s">
        <v>19</v>
      </c>
      <c r="I24">
        <f>-265</f>
        <v>-265</v>
      </c>
      <c r="Q24">
        <f t="shared" si="7"/>
        <v>-265</v>
      </c>
      <c r="U24" t="s">
        <v>177</v>
      </c>
      <c r="V24">
        <f>SUM(V22,V16,V11)</f>
        <v>59</v>
      </c>
    </row>
    <row r="25" spans="1:28" x14ac:dyDescent="0.3">
      <c r="C25" t="s">
        <v>20</v>
      </c>
      <c r="J25">
        <f>-90</f>
        <v>-90</v>
      </c>
      <c r="K25">
        <v>-18</v>
      </c>
      <c r="Q25">
        <f t="shared" si="7"/>
        <v>-108</v>
      </c>
      <c r="U25" t="s">
        <v>184</v>
      </c>
      <c r="V25">
        <f>E4</f>
        <v>80</v>
      </c>
    </row>
    <row r="26" spans="1:28" ht="14.5" x14ac:dyDescent="0.35">
      <c r="C26" t="s">
        <v>21</v>
      </c>
      <c r="L26">
        <v>-72</v>
      </c>
      <c r="Q26">
        <f t="shared" si="7"/>
        <v>-72</v>
      </c>
      <c r="U26" s="7" t="s">
        <v>185</v>
      </c>
      <c r="V26" s="7">
        <f>SUM(V24:V25)</f>
        <v>139</v>
      </c>
    </row>
    <row r="27" spans="1:28" x14ac:dyDescent="0.3">
      <c r="C27" t="s">
        <v>22</v>
      </c>
      <c r="M27">
        <v>-94</v>
      </c>
      <c r="Q27">
        <f t="shared" si="7"/>
        <v>-94</v>
      </c>
      <c r="T27" t="s">
        <v>228</v>
      </c>
    </row>
    <row r="28" spans="1:28" ht="14.5" x14ac:dyDescent="0.35">
      <c r="B28" s="7" t="s">
        <v>23</v>
      </c>
      <c r="C28" s="7"/>
      <c r="D28" s="7"/>
      <c r="E28" s="7">
        <f>SUM(E22:E27)</f>
        <v>0</v>
      </c>
      <c r="F28" s="7">
        <f t="shared" ref="F28:Q28" si="8">SUM(F22:F27)</f>
        <v>1150</v>
      </c>
      <c r="G28" s="7">
        <f t="shared" si="8"/>
        <v>-345</v>
      </c>
      <c r="H28" s="7">
        <f t="shared" si="8"/>
        <v>0</v>
      </c>
      <c r="I28" s="7">
        <f t="shared" si="8"/>
        <v>-265</v>
      </c>
      <c r="J28" s="7">
        <f t="shared" si="8"/>
        <v>-90</v>
      </c>
      <c r="K28" s="7">
        <f t="shared" si="8"/>
        <v>-18</v>
      </c>
      <c r="L28" s="7">
        <f>SUM(L23:L27)</f>
        <v>-72</v>
      </c>
      <c r="M28" s="7">
        <f t="shared" si="8"/>
        <v>-94</v>
      </c>
      <c r="N28" s="7">
        <f t="shared" si="8"/>
        <v>0</v>
      </c>
      <c r="O28" s="7">
        <f t="shared" si="8"/>
        <v>0</v>
      </c>
      <c r="P28" s="7">
        <f t="shared" si="8"/>
        <v>0</v>
      </c>
      <c r="Q28" s="7">
        <f t="shared" si="8"/>
        <v>266</v>
      </c>
      <c r="U28" t="s">
        <v>229</v>
      </c>
      <c r="V28">
        <f>Q13</f>
        <v>1070</v>
      </c>
    </row>
    <row r="29" spans="1:28" x14ac:dyDescent="0.3">
      <c r="C29" t="s">
        <v>24</v>
      </c>
      <c r="P29">
        <v>-62</v>
      </c>
      <c r="Q29">
        <f t="shared" si="7"/>
        <v>-62</v>
      </c>
      <c r="U29" t="s">
        <v>230</v>
      </c>
      <c r="V29">
        <f>Q43</f>
        <v>1214</v>
      </c>
    </row>
    <row r="30" spans="1:28" ht="14.5" x14ac:dyDescent="0.35">
      <c r="B30" s="7" t="s">
        <v>25</v>
      </c>
      <c r="C30" s="7"/>
      <c r="D30" s="7"/>
      <c r="E30" s="7">
        <f>SUM(E28:E29)</f>
        <v>0</v>
      </c>
      <c r="F30" s="7">
        <f t="shared" ref="F30:Q30" si="9">SUM(F28:F29)</f>
        <v>1150</v>
      </c>
      <c r="G30" s="7">
        <f t="shared" si="9"/>
        <v>-345</v>
      </c>
      <c r="H30" s="7">
        <f t="shared" si="9"/>
        <v>0</v>
      </c>
      <c r="I30" s="7">
        <f t="shared" si="9"/>
        <v>-265</v>
      </c>
      <c r="J30" s="7">
        <f t="shared" si="9"/>
        <v>-90</v>
      </c>
      <c r="K30" s="7">
        <f t="shared" si="9"/>
        <v>-18</v>
      </c>
      <c r="L30" s="7">
        <f t="shared" si="9"/>
        <v>-72</v>
      </c>
      <c r="M30" s="7">
        <f t="shared" si="9"/>
        <v>-94</v>
      </c>
      <c r="N30" s="7">
        <f t="shared" si="9"/>
        <v>0</v>
      </c>
      <c r="O30" s="7">
        <f t="shared" si="9"/>
        <v>0</v>
      </c>
      <c r="P30" s="7">
        <f t="shared" si="9"/>
        <v>-62</v>
      </c>
      <c r="Q30" s="7">
        <f t="shared" si="9"/>
        <v>204</v>
      </c>
      <c r="U30" s="6" t="s">
        <v>231</v>
      </c>
      <c r="V30" s="36">
        <f>V28/V29</f>
        <v>0.88138385502471173</v>
      </c>
    </row>
    <row r="31" spans="1:28" x14ac:dyDescent="0.3">
      <c r="U31" t="s">
        <v>229</v>
      </c>
      <c r="V31">
        <f>V28</f>
        <v>1070</v>
      </c>
    </row>
    <row r="32" spans="1:28" x14ac:dyDescent="0.3">
      <c r="C32" t="s">
        <v>31</v>
      </c>
      <c r="Q32" s="9">
        <f>Q22+Q23</f>
        <v>805</v>
      </c>
      <c r="U32" t="s">
        <v>232</v>
      </c>
      <c r="V32">
        <f>V31+V29</f>
        <v>2284</v>
      </c>
    </row>
    <row r="33" spans="1:22" x14ac:dyDescent="0.3">
      <c r="C33" t="s">
        <v>32</v>
      </c>
      <c r="Q33" s="9">
        <f>Q32+Q24</f>
        <v>540</v>
      </c>
      <c r="U33" s="6" t="s">
        <v>233</v>
      </c>
      <c r="V33" s="36">
        <f>V31/V32</f>
        <v>0.46847635726795095</v>
      </c>
    </row>
    <row r="34" spans="1:22" x14ac:dyDescent="0.3">
      <c r="C34" t="s">
        <v>33</v>
      </c>
      <c r="Q34" s="9">
        <f>Q33+Q25</f>
        <v>432</v>
      </c>
      <c r="U34" t="s">
        <v>229</v>
      </c>
      <c r="V34">
        <f>V31</f>
        <v>1070</v>
      </c>
    </row>
    <row r="35" spans="1:22" x14ac:dyDescent="0.3">
      <c r="C35" t="s">
        <v>23</v>
      </c>
      <c r="Q35" s="9">
        <f>Q34+Q26+Q27</f>
        <v>266</v>
      </c>
      <c r="U35" t="s">
        <v>32</v>
      </c>
      <c r="V35">
        <f>Q33</f>
        <v>540</v>
      </c>
    </row>
    <row r="36" spans="1:22" x14ac:dyDescent="0.3">
      <c r="U36" s="6" t="s">
        <v>234</v>
      </c>
      <c r="V36" s="39">
        <f>V34/V35</f>
        <v>1.9814814814814814</v>
      </c>
    </row>
    <row r="37" spans="1:22" x14ac:dyDescent="0.3">
      <c r="C37" t="s">
        <v>41</v>
      </c>
      <c r="E37">
        <f>SUM(E4:E6)</f>
        <v>690</v>
      </c>
      <c r="Q37">
        <f>SUM(Q4:Q6)</f>
        <v>724</v>
      </c>
      <c r="U37" t="s">
        <v>32</v>
      </c>
      <c r="V37">
        <f>V35</f>
        <v>540</v>
      </c>
    </row>
    <row r="38" spans="1:22" x14ac:dyDescent="0.3">
      <c r="C38" t="s">
        <v>42</v>
      </c>
      <c r="E38">
        <f>SUM(E7:E8)</f>
        <v>1700</v>
      </c>
      <c r="Q38">
        <f>SUM(Q7:Q8)</f>
        <v>1855</v>
      </c>
      <c r="U38" t="s">
        <v>21</v>
      </c>
      <c r="V38">
        <f>Q26</f>
        <v>-72</v>
      </c>
    </row>
    <row r="39" spans="1:22" x14ac:dyDescent="0.3">
      <c r="U39" s="6" t="s">
        <v>235</v>
      </c>
      <c r="V39" s="37">
        <f>V37/-V38</f>
        <v>7.5</v>
      </c>
    </row>
    <row r="40" spans="1:22" x14ac:dyDescent="0.3">
      <c r="C40" t="s">
        <v>43</v>
      </c>
      <c r="E40">
        <f>SUM(E11:E12)</f>
        <v>330</v>
      </c>
      <c r="Q40">
        <f>SUM(Q11:Q12)</f>
        <v>295</v>
      </c>
    </row>
    <row r="41" spans="1:22" ht="14.5" x14ac:dyDescent="0.35">
      <c r="C41" t="s">
        <v>44</v>
      </c>
      <c r="E41">
        <f>SUM(E13)</f>
        <v>1100</v>
      </c>
      <c r="Q41">
        <f>SUM(Q13)</f>
        <v>1070</v>
      </c>
      <c r="T41" s="5" t="s">
        <v>236</v>
      </c>
    </row>
    <row r="42" spans="1:22" x14ac:dyDescent="0.3">
      <c r="U42" t="s">
        <v>35</v>
      </c>
      <c r="V42">
        <f>Q37</f>
        <v>724</v>
      </c>
    </row>
    <row r="43" spans="1:22" x14ac:dyDescent="0.3">
      <c r="C43" t="s">
        <v>45</v>
      </c>
      <c r="E43">
        <f>SUM(E14:E16)</f>
        <v>960</v>
      </c>
      <c r="Q43">
        <f>SUM(Q14:Q16)</f>
        <v>1214</v>
      </c>
      <c r="U43" t="s">
        <v>244</v>
      </c>
      <c r="V43">
        <f>Q40</f>
        <v>295</v>
      </c>
    </row>
    <row r="44" spans="1:22" x14ac:dyDescent="0.3">
      <c r="U44" s="6" t="s">
        <v>245</v>
      </c>
      <c r="V44">
        <f>V42/V43</f>
        <v>2.4542372881355932</v>
      </c>
    </row>
    <row r="45" spans="1:22" ht="14.5" x14ac:dyDescent="0.35">
      <c r="A45" s="5" t="s">
        <v>191</v>
      </c>
      <c r="U45" t="s">
        <v>247</v>
      </c>
      <c r="V45">
        <f>Q6</f>
        <v>375</v>
      </c>
    </row>
    <row r="46" spans="1:22" ht="14.5" x14ac:dyDescent="0.35">
      <c r="A46" s="5"/>
      <c r="U46" t="s">
        <v>248</v>
      </c>
      <c r="V46">
        <f>Q40</f>
        <v>295</v>
      </c>
    </row>
    <row r="47" spans="1:22" x14ac:dyDescent="0.3">
      <c r="C47" t="s">
        <v>31</v>
      </c>
      <c r="Q47">
        <f>Q32</f>
        <v>805</v>
      </c>
      <c r="S47">
        <f>S32</f>
        <v>0</v>
      </c>
      <c r="U47" s="6" t="s">
        <v>249</v>
      </c>
      <c r="V47">
        <f>V45/V46</f>
        <v>1.271186440677966</v>
      </c>
    </row>
    <row r="48" spans="1:22" x14ac:dyDescent="0.3">
      <c r="C48" t="s">
        <v>5</v>
      </c>
      <c r="Q48">
        <f>Q22</f>
        <v>1150</v>
      </c>
      <c r="U48" t="s">
        <v>252</v>
      </c>
      <c r="V48">
        <f>(Q5+E5)/2</f>
        <v>250</v>
      </c>
    </row>
    <row r="49" spans="1:22" ht="14.5" x14ac:dyDescent="0.35">
      <c r="B49" s="7" t="s">
        <v>192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0">
        <f>Q47/Q48</f>
        <v>0.7</v>
      </c>
      <c r="R49" s="7"/>
      <c r="U49" t="s">
        <v>5</v>
      </c>
      <c r="V49">
        <f>Q48</f>
        <v>1150</v>
      </c>
    </row>
    <row r="50" spans="1:22" x14ac:dyDescent="0.3">
      <c r="C50" t="s">
        <v>32</v>
      </c>
      <c r="Q50">
        <f>Q33</f>
        <v>540</v>
      </c>
      <c r="U50" s="6" t="s">
        <v>253</v>
      </c>
      <c r="V50">
        <f>V48/V49*365</f>
        <v>79.347826086956516</v>
      </c>
    </row>
    <row r="51" spans="1:22" x14ac:dyDescent="0.3">
      <c r="C51" t="s">
        <v>5</v>
      </c>
      <c r="Q51">
        <f>Q22</f>
        <v>1150</v>
      </c>
      <c r="U51" t="s">
        <v>255</v>
      </c>
      <c r="V51">
        <f>(Q6+E6)/2</f>
        <v>347.5</v>
      </c>
    </row>
    <row r="52" spans="1:22" ht="14.5" x14ac:dyDescent="0.35">
      <c r="B52" s="7" t="s">
        <v>197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0">
        <f>Q50/Q51</f>
        <v>0.46956521739130436</v>
      </c>
      <c r="R52" s="7"/>
      <c r="U52" t="s">
        <v>256</v>
      </c>
      <c r="V52">
        <f>-Q23</f>
        <v>345</v>
      </c>
    </row>
    <row r="53" spans="1:22" x14ac:dyDescent="0.3">
      <c r="C53" t="s">
        <v>33</v>
      </c>
      <c r="Q53">
        <f>Q34</f>
        <v>432</v>
      </c>
      <c r="U53" s="6" t="s">
        <v>257</v>
      </c>
      <c r="V53">
        <f>V51/V52*365</f>
        <v>367.64492753623188</v>
      </c>
    </row>
    <row r="54" spans="1:22" x14ac:dyDescent="0.3">
      <c r="C54" t="s">
        <v>5</v>
      </c>
      <c r="Q54">
        <f>Q51</f>
        <v>1150</v>
      </c>
      <c r="U54" t="s">
        <v>258</v>
      </c>
      <c r="V54">
        <f>(E11+Q11)/2</f>
        <v>212.5</v>
      </c>
    </row>
    <row r="55" spans="1:22" ht="14.5" x14ac:dyDescent="0.35">
      <c r="B55" s="7" t="s">
        <v>198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30">
        <f>Q53/Q54</f>
        <v>0.37565217391304345</v>
      </c>
      <c r="R55" s="7"/>
      <c r="U55" t="s">
        <v>256</v>
      </c>
      <c r="V55">
        <f>V52</f>
        <v>345</v>
      </c>
    </row>
    <row r="56" spans="1:22" x14ac:dyDescent="0.3">
      <c r="C56" t="s">
        <v>23</v>
      </c>
      <c r="Q56">
        <f>Q35</f>
        <v>266</v>
      </c>
      <c r="U56" s="6" t="s">
        <v>259</v>
      </c>
      <c r="V56">
        <f>V54/V55*365</f>
        <v>224.81884057971013</v>
      </c>
    </row>
    <row r="57" spans="1:22" x14ac:dyDescent="0.3">
      <c r="C57" t="s">
        <v>5</v>
      </c>
      <c r="Q57">
        <f>Q22</f>
        <v>1150</v>
      </c>
      <c r="U57" t="s">
        <v>253</v>
      </c>
      <c r="V57">
        <f>V50</f>
        <v>79.347826086956516</v>
      </c>
    </row>
    <row r="58" spans="1:22" ht="14.5" x14ac:dyDescent="0.35">
      <c r="B58" s="7" t="s">
        <v>199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30">
        <f>Q56/Q57</f>
        <v>0.23130434782608697</v>
      </c>
      <c r="R58" s="7"/>
      <c r="U58" t="s">
        <v>257</v>
      </c>
      <c r="V58">
        <f>V53</f>
        <v>367.64492753623188</v>
      </c>
    </row>
    <row r="59" spans="1:22" x14ac:dyDescent="0.3">
      <c r="U59" t="s">
        <v>259</v>
      </c>
      <c r="V59">
        <f>V56</f>
        <v>224.81884057971013</v>
      </c>
    </row>
    <row r="60" spans="1:22" ht="14.5" x14ac:dyDescent="0.35">
      <c r="A60" s="5" t="s">
        <v>202</v>
      </c>
      <c r="U60" s="6" t="s">
        <v>260</v>
      </c>
      <c r="V60">
        <f>V57+V58-V59</f>
        <v>222.17391304347825</v>
      </c>
    </row>
    <row r="61" spans="1:22" x14ac:dyDescent="0.3">
      <c r="C61" t="s">
        <v>23</v>
      </c>
      <c r="Q61">
        <f>Q56</f>
        <v>266</v>
      </c>
    </row>
    <row r="62" spans="1:22" x14ac:dyDescent="0.3">
      <c r="C62" t="s">
        <v>45</v>
      </c>
      <c r="Q62">
        <f>Q43</f>
        <v>1214</v>
      </c>
    </row>
    <row r="63" spans="1:22" ht="14.5" x14ac:dyDescent="0.35">
      <c r="B63" s="7" t="s">
        <v>204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30">
        <f>Q61/Q62</f>
        <v>0.21911037891268534</v>
      </c>
      <c r="R63" s="7"/>
      <c r="U63" s="6"/>
    </row>
    <row r="64" spans="1:22" x14ac:dyDescent="0.3">
      <c r="C64" t="s">
        <v>33</v>
      </c>
      <c r="Q64">
        <f>Q53</f>
        <v>432</v>
      </c>
    </row>
    <row r="65" spans="2:21" x14ac:dyDescent="0.3">
      <c r="C65" t="s">
        <v>206</v>
      </c>
      <c r="Q65">
        <f>Q43+Q13</f>
        <v>2284</v>
      </c>
    </row>
    <row r="66" spans="2:21" ht="14.5" x14ac:dyDescent="0.35">
      <c r="B66" s="7" t="s">
        <v>208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30">
        <f>Q64/Q65</f>
        <v>0.18914185639229422</v>
      </c>
      <c r="R66" s="7"/>
    </row>
    <row r="67" spans="2:21" x14ac:dyDescent="0.3">
      <c r="C67" t="s">
        <v>33</v>
      </c>
      <c r="Q67">
        <f>Q53</f>
        <v>432</v>
      </c>
      <c r="U67" s="6"/>
    </row>
    <row r="68" spans="2:21" x14ac:dyDescent="0.3">
      <c r="C68" t="s">
        <v>10</v>
      </c>
      <c r="Q68">
        <f>Q9</f>
        <v>2579</v>
      </c>
    </row>
    <row r="69" spans="2:21" ht="14.5" x14ac:dyDescent="0.35">
      <c r="B69" s="7" t="s">
        <v>208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30">
        <f>Q67/Q68</f>
        <v>0.16750678557580456</v>
      </c>
      <c r="R69" s="7"/>
      <c r="S69" s="30"/>
    </row>
  </sheetData>
  <conditionalFormatting sqref="C2">
    <cfRule type="containsText" dxfId="5" priority="1" operator="containsText" text="error">
      <formula>NOT(ISERROR(SEARCH("error",C2)))</formula>
    </cfRule>
    <cfRule type="containsText" dxfId="4" priority="2" operator="containsText" text="ok">
      <formula>NOT(ISERROR(SEARCH("ok",C2)))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5"/>
  <sheetViews>
    <sheetView zoomScale="150" zoomScaleNormal="150" workbookViewId="0">
      <pane xSplit="4" ySplit="3" topLeftCell="X22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3" outlineLevelCol="1" x14ac:dyDescent="0.3"/>
  <cols>
    <col min="1" max="2" width="1.69921875" customWidth="1"/>
    <col min="3" max="3" width="27.3984375" customWidth="1"/>
    <col min="4" max="4" width="1.69921875" customWidth="1"/>
    <col min="6" max="7" width="9.8984375" customWidth="1" outlineLevel="1"/>
    <col min="8" max="8" width="11.296875" customWidth="1" outlineLevel="1"/>
    <col min="9" max="10" width="9.8984375" customWidth="1" outlineLevel="1"/>
    <col min="11" max="11" width="10.8984375" customWidth="1" outlineLevel="1"/>
    <col min="12" max="12" width="11.296875" customWidth="1" outlineLevel="1"/>
    <col min="13" max="13" width="9.8984375" customWidth="1" outlineLevel="1"/>
    <col min="14" max="17" width="9.09765625" customWidth="1" outlineLevel="1"/>
    <col min="18" max="18" width="9.8984375" customWidth="1" outlineLevel="1"/>
    <col min="19" max="19" width="11.296875" customWidth="1"/>
    <col min="20" max="22" width="1.69921875" customWidth="1"/>
    <col min="23" max="23" width="31" customWidth="1"/>
  </cols>
  <sheetData>
    <row r="1" spans="1:24" ht="14.5" x14ac:dyDescent="0.35">
      <c r="C1" s="1" t="s">
        <v>46</v>
      </c>
    </row>
    <row r="2" spans="1:24" x14ac:dyDescent="0.3">
      <c r="C2" t="str">
        <f>IF(SUM(E19:S19)=0,"OK","Error")</f>
        <v>OK</v>
      </c>
    </row>
    <row r="3" spans="1:24" ht="14.5" x14ac:dyDescent="0.35">
      <c r="A3" s="5" t="s">
        <v>1</v>
      </c>
      <c r="E3" s="2">
        <v>0</v>
      </c>
      <c r="F3" s="2">
        <f>E3+1</f>
        <v>1</v>
      </c>
      <c r="G3" s="2">
        <f t="shared" ref="G3:R3" si="0">F3+1</f>
        <v>2</v>
      </c>
      <c r="H3" s="2">
        <f t="shared" si="0"/>
        <v>3</v>
      </c>
      <c r="I3" s="2">
        <f t="shared" si="0"/>
        <v>4</v>
      </c>
      <c r="J3" s="2">
        <f t="shared" si="0"/>
        <v>5</v>
      </c>
      <c r="K3" s="2">
        <f t="shared" si="0"/>
        <v>6</v>
      </c>
      <c r="L3" s="2">
        <f t="shared" si="0"/>
        <v>7</v>
      </c>
      <c r="M3" s="2">
        <f t="shared" si="0"/>
        <v>8</v>
      </c>
      <c r="N3" s="2">
        <f t="shared" si="0"/>
        <v>9</v>
      </c>
      <c r="O3" s="2">
        <f t="shared" si="0"/>
        <v>10</v>
      </c>
      <c r="P3" s="2">
        <f t="shared" si="0"/>
        <v>11</v>
      </c>
      <c r="Q3" s="2">
        <f t="shared" si="0"/>
        <v>12</v>
      </c>
      <c r="R3" s="2">
        <f t="shared" si="0"/>
        <v>13</v>
      </c>
      <c r="S3" s="2" t="s">
        <v>11</v>
      </c>
      <c r="U3" t="s">
        <v>84</v>
      </c>
    </row>
    <row r="4" spans="1:24" ht="14.5" x14ac:dyDescent="0.35">
      <c r="C4" t="s">
        <v>6</v>
      </c>
      <c r="E4">
        <v>476</v>
      </c>
      <c r="F4">
        <f>3010</f>
        <v>3010</v>
      </c>
      <c r="G4">
        <f>-850</f>
        <v>-850</v>
      </c>
      <c r="H4">
        <v>-634</v>
      </c>
      <c r="I4">
        <v>-530</v>
      </c>
      <c r="J4">
        <f>-141</f>
        <v>-141</v>
      </c>
      <c r="K4">
        <v>23</v>
      </c>
      <c r="L4">
        <v>7</v>
      </c>
      <c r="N4">
        <v>-169</v>
      </c>
      <c r="O4">
        <v>-294</v>
      </c>
      <c r="P4">
        <v>50</v>
      </c>
      <c r="Q4">
        <f>650-180</f>
        <v>470</v>
      </c>
      <c r="R4">
        <v>-230</v>
      </c>
      <c r="S4">
        <f>SUM(E4:R4)</f>
        <v>1188</v>
      </c>
      <c r="V4" s="5" t="s">
        <v>85</v>
      </c>
    </row>
    <row r="5" spans="1:24" x14ac:dyDescent="0.3">
      <c r="C5" t="s">
        <v>7</v>
      </c>
      <c r="E5">
        <v>870</v>
      </c>
      <c r="F5">
        <f>3125-3010</f>
        <v>115</v>
      </c>
      <c r="S5">
        <f t="shared" ref="S5:S8" si="1">SUM(E5:R5)</f>
        <v>985</v>
      </c>
      <c r="W5" t="s">
        <v>86</v>
      </c>
      <c r="X5">
        <v>3010</v>
      </c>
    </row>
    <row r="6" spans="1:24" x14ac:dyDescent="0.3">
      <c r="C6" t="s">
        <v>8</v>
      </c>
      <c r="E6">
        <v>1765</v>
      </c>
      <c r="G6">
        <f>900-945</f>
        <v>-45</v>
      </c>
      <c r="S6">
        <f t="shared" si="1"/>
        <v>1720</v>
      </c>
      <c r="W6" t="s">
        <v>87</v>
      </c>
      <c r="X6">
        <v>-850</v>
      </c>
    </row>
    <row r="7" spans="1:24" x14ac:dyDescent="0.3">
      <c r="C7" t="s">
        <v>47</v>
      </c>
      <c r="E7">
        <v>4300</v>
      </c>
      <c r="I7">
        <f>530-197</f>
        <v>333</v>
      </c>
      <c r="K7">
        <v>-21</v>
      </c>
      <c r="S7">
        <f t="shared" si="1"/>
        <v>4612</v>
      </c>
      <c r="W7" t="s">
        <v>88</v>
      </c>
      <c r="X7">
        <v>-634</v>
      </c>
    </row>
    <row r="8" spans="1:24" x14ac:dyDescent="0.3">
      <c r="C8" t="s">
        <v>37</v>
      </c>
      <c r="E8">
        <v>950</v>
      </c>
      <c r="J8">
        <f>141-86</f>
        <v>55</v>
      </c>
      <c r="L8">
        <v>-10</v>
      </c>
      <c r="S8">
        <f t="shared" si="1"/>
        <v>995</v>
      </c>
      <c r="W8" t="s">
        <v>89</v>
      </c>
      <c r="X8">
        <v>-294</v>
      </c>
    </row>
    <row r="9" spans="1:24" ht="14.5" x14ac:dyDescent="0.35">
      <c r="B9" s="7" t="s">
        <v>10</v>
      </c>
      <c r="C9" s="7"/>
      <c r="D9" s="7"/>
      <c r="E9" s="7">
        <f>SUM(E4:E8)</f>
        <v>8361</v>
      </c>
      <c r="F9" s="7">
        <f t="shared" ref="F9:S9" si="2">SUM(F4:F8)</f>
        <v>3125</v>
      </c>
      <c r="G9" s="7">
        <f t="shared" si="2"/>
        <v>-895</v>
      </c>
      <c r="H9" s="7">
        <f t="shared" si="2"/>
        <v>-634</v>
      </c>
      <c r="I9" s="7">
        <f t="shared" si="2"/>
        <v>-197</v>
      </c>
      <c r="J9" s="7">
        <f t="shared" si="2"/>
        <v>-86</v>
      </c>
      <c r="K9" s="7">
        <f t="shared" si="2"/>
        <v>2</v>
      </c>
      <c r="L9" s="7">
        <f t="shared" si="2"/>
        <v>-3</v>
      </c>
      <c r="M9" s="7">
        <f t="shared" si="2"/>
        <v>0</v>
      </c>
      <c r="N9" s="7">
        <f t="shared" ref="N9" si="3">SUM(N4:N8)</f>
        <v>-169</v>
      </c>
      <c r="O9" s="7">
        <f t="shared" ref="O9" si="4">SUM(O4:O8)</f>
        <v>-294</v>
      </c>
      <c r="P9" s="7">
        <f t="shared" si="2"/>
        <v>50</v>
      </c>
      <c r="Q9" s="7">
        <f t="shared" si="2"/>
        <v>470</v>
      </c>
      <c r="R9" s="7">
        <f t="shared" si="2"/>
        <v>-230</v>
      </c>
      <c r="S9" s="7">
        <f t="shared" si="2"/>
        <v>9500</v>
      </c>
      <c r="W9" s="7" t="s">
        <v>82</v>
      </c>
      <c r="X9" s="7">
        <f>SUM(X5:X8)</f>
        <v>1232</v>
      </c>
    </row>
    <row r="10" spans="1:24" ht="14.5" x14ac:dyDescent="0.35">
      <c r="V10" s="5" t="s">
        <v>90</v>
      </c>
    </row>
    <row r="11" spans="1:24" x14ac:dyDescent="0.3">
      <c r="C11" t="s">
        <v>12</v>
      </c>
      <c r="E11">
        <v>890</v>
      </c>
      <c r="G11">
        <f>900-850</f>
        <v>50</v>
      </c>
      <c r="S11">
        <f>SUM(E11:R11)</f>
        <v>940</v>
      </c>
      <c r="W11" t="s">
        <v>91</v>
      </c>
      <c r="X11">
        <v>-530</v>
      </c>
    </row>
    <row r="12" spans="1:24" x14ac:dyDescent="0.3">
      <c r="C12" t="s">
        <v>60</v>
      </c>
      <c r="E12">
        <v>120</v>
      </c>
      <c r="M12">
        <v>29</v>
      </c>
      <c r="S12">
        <f t="shared" ref="S12:S16" si="5">SUM(E12:R12)</f>
        <v>149</v>
      </c>
      <c r="W12" t="s">
        <v>92</v>
      </c>
      <c r="X12">
        <f>-141</f>
        <v>-141</v>
      </c>
    </row>
    <row r="13" spans="1:24" x14ac:dyDescent="0.3">
      <c r="C13" t="s">
        <v>17</v>
      </c>
      <c r="E13">
        <v>2875</v>
      </c>
      <c r="Q13">
        <f>650-180</f>
        <v>470</v>
      </c>
      <c r="S13">
        <f t="shared" si="5"/>
        <v>3345</v>
      </c>
      <c r="W13" t="s">
        <v>93</v>
      </c>
      <c r="X13">
        <f>23+7</f>
        <v>30</v>
      </c>
    </row>
    <row r="14" spans="1:24" ht="14.5" x14ac:dyDescent="0.35">
      <c r="C14" t="s">
        <v>13</v>
      </c>
      <c r="E14">
        <v>232</v>
      </c>
      <c r="P14">
        <v>1</v>
      </c>
      <c r="S14">
        <f t="shared" si="5"/>
        <v>233</v>
      </c>
      <c r="W14" s="7" t="s">
        <v>83</v>
      </c>
      <c r="X14" s="7">
        <f>SUM(X11:X13)</f>
        <v>-641</v>
      </c>
    </row>
    <row r="15" spans="1:24" ht="14.5" x14ac:dyDescent="0.35">
      <c r="C15" t="s">
        <v>14</v>
      </c>
      <c r="E15">
        <v>128</v>
      </c>
      <c r="P15">
        <v>49</v>
      </c>
      <c r="S15">
        <f t="shared" si="5"/>
        <v>177</v>
      </c>
      <c r="V15" s="5" t="s">
        <v>94</v>
      </c>
    </row>
    <row r="16" spans="1:24" x14ac:dyDescent="0.3">
      <c r="C16" t="s">
        <v>15</v>
      </c>
      <c r="E16">
        <v>4116</v>
      </c>
      <c r="F16">
        <f>F32</f>
        <v>3125</v>
      </c>
      <c r="G16">
        <f t="shared" ref="G16:R16" si="6">G32</f>
        <v>-945</v>
      </c>
      <c r="H16">
        <f t="shared" si="6"/>
        <v>-634</v>
      </c>
      <c r="I16">
        <f t="shared" si="6"/>
        <v>-197</v>
      </c>
      <c r="J16">
        <f t="shared" si="6"/>
        <v>-86</v>
      </c>
      <c r="K16">
        <f t="shared" si="6"/>
        <v>2</v>
      </c>
      <c r="L16">
        <f t="shared" si="6"/>
        <v>-3</v>
      </c>
      <c r="M16">
        <f t="shared" si="6"/>
        <v>-29</v>
      </c>
      <c r="N16">
        <f t="shared" ref="N16" si="7">N32</f>
        <v>-169</v>
      </c>
      <c r="O16">
        <f t="shared" ref="O16" si="8">O32</f>
        <v>-294</v>
      </c>
      <c r="P16">
        <f t="shared" si="6"/>
        <v>0</v>
      </c>
      <c r="Q16">
        <f t="shared" si="6"/>
        <v>0</v>
      </c>
      <c r="R16">
        <f t="shared" si="6"/>
        <v>-230</v>
      </c>
      <c r="S16">
        <f t="shared" si="5"/>
        <v>4656</v>
      </c>
      <c r="W16" t="s">
        <v>95</v>
      </c>
      <c r="X16">
        <f>650-180</f>
        <v>470</v>
      </c>
    </row>
    <row r="17" spans="1:24" ht="14.5" x14ac:dyDescent="0.35">
      <c r="B17" s="7" t="s">
        <v>16</v>
      </c>
      <c r="C17" s="7"/>
      <c r="D17" s="7"/>
      <c r="E17" s="7">
        <f>SUM(E11:E16)</f>
        <v>8361</v>
      </c>
      <c r="F17" s="7">
        <f t="shared" ref="F17:S17" si="9">SUM(F11:F16)</f>
        <v>3125</v>
      </c>
      <c r="G17" s="7">
        <f t="shared" si="9"/>
        <v>-895</v>
      </c>
      <c r="H17" s="7">
        <f t="shared" si="9"/>
        <v>-634</v>
      </c>
      <c r="I17" s="7">
        <f t="shared" si="9"/>
        <v>-197</v>
      </c>
      <c r="J17" s="7">
        <f t="shared" si="9"/>
        <v>-86</v>
      </c>
      <c r="K17" s="7">
        <f t="shared" si="9"/>
        <v>2</v>
      </c>
      <c r="L17" s="7">
        <f t="shared" si="9"/>
        <v>-3</v>
      </c>
      <c r="M17" s="7">
        <f t="shared" si="9"/>
        <v>0</v>
      </c>
      <c r="N17" s="7">
        <f t="shared" ref="N17" si="10">SUM(N11:N16)</f>
        <v>-169</v>
      </c>
      <c r="O17" s="7">
        <f t="shared" ref="O17" si="11">SUM(O11:O16)</f>
        <v>-294</v>
      </c>
      <c r="P17" s="7">
        <f t="shared" si="9"/>
        <v>50</v>
      </c>
      <c r="Q17" s="7">
        <f t="shared" si="9"/>
        <v>470</v>
      </c>
      <c r="R17" s="7">
        <f t="shared" si="9"/>
        <v>-230</v>
      </c>
      <c r="S17" s="7">
        <f t="shared" si="9"/>
        <v>9500</v>
      </c>
      <c r="W17" t="s">
        <v>96</v>
      </c>
      <c r="X17">
        <v>50</v>
      </c>
    </row>
    <row r="18" spans="1:24" x14ac:dyDescent="0.3">
      <c r="W18" t="s">
        <v>97</v>
      </c>
      <c r="X18">
        <v>-169</v>
      </c>
    </row>
    <row r="19" spans="1:24" x14ac:dyDescent="0.3">
      <c r="C19" t="s">
        <v>28</v>
      </c>
      <c r="E19">
        <f>E9-E17</f>
        <v>0</v>
      </c>
      <c r="F19">
        <f t="shared" ref="F19:S19" si="12">F9-F17</f>
        <v>0</v>
      </c>
      <c r="G19">
        <f t="shared" si="12"/>
        <v>0</v>
      </c>
      <c r="H19">
        <f t="shared" si="12"/>
        <v>0</v>
      </c>
      <c r="I19">
        <f t="shared" si="12"/>
        <v>0</v>
      </c>
      <c r="J19">
        <f t="shared" si="12"/>
        <v>0</v>
      </c>
      <c r="K19">
        <f t="shared" si="12"/>
        <v>0</v>
      </c>
      <c r="L19">
        <f t="shared" si="12"/>
        <v>0</v>
      </c>
      <c r="M19">
        <f t="shared" si="12"/>
        <v>0</v>
      </c>
      <c r="N19">
        <f t="shared" ref="N19" si="13">N9-N17</f>
        <v>0</v>
      </c>
      <c r="O19">
        <f t="shared" ref="O19" si="14">O9-O17</f>
        <v>0</v>
      </c>
      <c r="P19">
        <f t="shared" si="12"/>
        <v>0</v>
      </c>
      <c r="R19">
        <f t="shared" si="12"/>
        <v>0</v>
      </c>
      <c r="S19">
        <f t="shared" si="12"/>
        <v>0</v>
      </c>
      <c r="W19" t="s">
        <v>98</v>
      </c>
      <c r="X19">
        <v>-230</v>
      </c>
    </row>
    <row r="20" spans="1:24" ht="14.5" x14ac:dyDescent="0.35">
      <c r="W20" s="7" t="s">
        <v>99</v>
      </c>
      <c r="X20" s="7">
        <f>SUM(X16:X19)</f>
        <v>121</v>
      </c>
    </row>
    <row r="21" spans="1:24" ht="14.5" x14ac:dyDescent="0.35">
      <c r="A21" s="5" t="s">
        <v>0</v>
      </c>
    </row>
    <row r="22" spans="1:24" x14ac:dyDescent="0.3">
      <c r="C22" t="s">
        <v>5</v>
      </c>
      <c r="F22">
        <v>3125</v>
      </c>
      <c r="S22">
        <f>SUM(E22:R22)</f>
        <v>3125</v>
      </c>
      <c r="W22" t="s">
        <v>100</v>
      </c>
      <c r="X22">
        <f>X20+X14+X9</f>
        <v>712</v>
      </c>
    </row>
    <row r="23" spans="1:24" x14ac:dyDescent="0.3">
      <c r="C23" t="s">
        <v>18</v>
      </c>
      <c r="G23">
        <v>-945</v>
      </c>
      <c r="S23">
        <f t="shared" ref="S23:S31" si="15">SUM(E23:R23)</f>
        <v>-945</v>
      </c>
      <c r="W23" t="s">
        <v>101</v>
      </c>
      <c r="X23">
        <v>476</v>
      </c>
    </row>
    <row r="24" spans="1:24" ht="14.5" x14ac:dyDescent="0.35">
      <c r="C24" t="s">
        <v>19</v>
      </c>
      <c r="H24">
        <v>-634</v>
      </c>
      <c r="S24">
        <f t="shared" si="15"/>
        <v>-634</v>
      </c>
      <c r="W24" s="7" t="s">
        <v>102</v>
      </c>
      <c r="X24" s="7">
        <f>SUM(X22:X23)</f>
        <v>1188</v>
      </c>
    </row>
    <row r="25" spans="1:24" x14ac:dyDescent="0.3">
      <c r="C25" t="s">
        <v>20</v>
      </c>
      <c r="I25">
        <v>-197</v>
      </c>
      <c r="J25">
        <v>-86</v>
      </c>
      <c r="S25">
        <f t="shared" si="15"/>
        <v>-283</v>
      </c>
    </row>
    <row r="26" spans="1:24" x14ac:dyDescent="0.3">
      <c r="C26" t="s">
        <v>59</v>
      </c>
      <c r="K26">
        <v>2</v>
      </c>
      <c r="L26">
        <v>-3</v>
      </c>
      <c r="S26">
        <f t="shared" si="15"/>
        <v>-1</v>
      </c>
    </row>
    <row r="27" spans="1:24" x14ac:dyDescent="0.3">
      <c r="C27" t="s">
        <v>60</v>
      </c>
      <c r="M27">
        <v>-29</v>
      </c>
      <c r="S27">
        <f t="shared" si="15"/>
        <v>-29</v>
      </c>
    </row>
    <row r="28" spans="1:24" x14ac:dyDescent="0.3">
      <c r="C28" t="s">
        <v>21</v>
      </c>
      <c r="N28">
        <v>-169</v>
      </c>
      <c r="S28">
        <f t="shared" si="15"/>
        <v>-169</v>
      </c>
    </row>
    <row r="29" spans="1:24" x14ac:dyDescent="0.3">
      <c r="C29" t="s">
        <v>22</v>
      </c>
      <c r="O29">
        <v>-294</v>
      </c>
      <c r="S29">
        <f t="shared" si="15"/>
        <v>-294</v>
      </c>
    </row>
    <row r="30" spans="1:24" ht="14.5" x14ac:dyDescent="0.35">
      <c r="B30" s="7" t="s">
        <v>23</v>
      </c>
      <c r="C30" s="7"/>
      <c r="D30" s="7"/>
      <c r="E30" s="7">
        <f t="shared" ref="E30:K30" si="16">SUM(E22:E29)</f>
        <v>0</v>
      </c>
      <c r="F30" s="7">
        <f t="shared" si="16"/>
        <v>3125</v>
      </c>
      <c r="G30" s="7">
        <f t="shared" si="16"/>
        <v>-945</v>
      </c>
      <c r="H30" s="7">
        <f t="shared" si="16"/>
        <v>-634</v>
      </c>
      <c r="I30" s="7">
        <f t="shared" si="16"/>
        <v>-197</v>
      </c>
      <c r="J30" s="7">
        <f t="shared" si="16"/>
        <v>-86</v>
      </c>
      <c r="K30" s="7">
        <f t="shared" si="16"/>
        <v>2</v>
      </c>
      <c r="L30" s="7">
        <f>SUM(L23:L29)</f>
        <v>-3</v>
      </c>
      <c r="M30" s="7">
        <f t="shared" ref="M30:S30" si="17">SUM(M22:M29)</f>
        <v>-29</v>
      </c>
      <c r="N30" s="7">
        <f t="shared" si="17"/>
        <v>-169</v>
      </c>
      <c r="O30" s="7">
        <f t="shared" si="17"/>
        <v>-294</v>
      </c>
      <c r="P30" s="7">
        <f t="shared" si="17"/>
        <v>0</v>
      </c>
      <c r="Q30" s="7">
        <f t="shared" si="17"/>
        <v>0</v>
      </c>
      <c r="R30" s="7">
        <f t="shared" si="17"/>
        <v>0</v>
      </c>
      <c r="S30" s="7">
        <f t="shared" si="17"/>
        <v>770</v>
      </c>
    </row>
    <row r="31" spans="1:24" x14ac:dyDescent="0.3">
      <c r="C31" t="s">
        <v>24</v>
      </c>
      <c r="R31">
        <v>-230</v>
      </c>
      <c r="S31">
        <f t="shared" si="15"/>
        <v>-230</v>
      </c>
    </row>
    <row r="32" spans="1:24" ht="14.5" x14ac:dyDescent="0.35">
      <c r="B32" s="7" t="s">
        <v>25</v>
      </c>
      <c r="C32" s="7"/>
      <c r="D32" s="7"/>
      <c r="E32" s="7">
        <f>SUM(E30:E31)</f>
        <v>0</v>
      </c>
      <c r="F32" s="7">
        <f t="shared" ref="F32:S32" si="18">SUM(F30:F31)</f>
        <v>3125</v>
      </c>
      <c r="G32" s="7">
        <f t="shared" si="18"/>
        <v>-945</v>
      </c>
      <c r="H32" s="7">
        <f t="shared" si="18"/>
        <v>-634</v>
      </c>
      <c r="I32" s="7">
        <f t="shared" si="18"/>
        <v>-197</v>
      </c>
      <c r="J32" s="7">
        <f t="shared" si="18"/>
        <v>-86</v>
      </c>
      <c r="K32" s="7">
        <f t="shared" si="18"/>
        <v>2</v>
      </c>
      <c r="L32" s="7">
        <f t="shared" si="18"/>
        <v>-3</v>
      </c>
      <c r="M32" s="7">
        <f t="shared" si="18"/>
        <v>-29</v>
      </c>
      <c r="N32" s="7">
        <f t="shared" ref="N32" si="19">SUM(N30:N31)</f>
        <v>-169</v>
      </c>
      <c r="O32" s="7">
        <f t="shared" ref="O32" si="20">SUM(O30:O31)</f>
        <v>-294</v>
      </c>
      <c r="P32" s="7">
        <f t="shared" si="18"/>
        <v>0</v>
      </c>
      <c r="Q32" s="7">
        <f t="shared" si="18"/>
        <v>0</v>
      </c>
      <c r="R32" s="7">
        <f t="shared" si="18"/>
        <v>-230</v>
      </c>
      <c r="S32" s="7">
        <f t="shared" si="18"/>
        <v>540</v>
      </c>
    </row>
    <row r="34" spans="3:19" x14ac:dyDescent="0.3">
      <c r="C34" t="s">
        <v>31</v>
      </c>
      <c r="S34" s="9">
        <f>S22+S23</f>
        <v>2180</v>
      </c>
    </row>
    <row r="35" spans="3:19" x14ac:dyDescent="0.3">
      <c r="C35" t="s">
        <v>32</v>
      </c>
      <c r="S35" s="9">
        <f>S34+S24</f>
        <v>1546</v>
      </c>
    </row>
    <row r="36" spans="3:19" x14ac:dyDescent="0.3">
      <c r="C36" t="s">
        <v>33</v>
      </c>
      <c r="S36" s="9">
        <f>S35+S25</f>
        <v>1263</v>
      </c>
    </row>
    <row r="37" spans="3:19" x14ac:dyDescent="0.3">
      <c r="C37" t="s">
        <v>23</v>
      </c>
      <c r="S37" s="9">
        <f>S36+S28+S29</f>
        <v>800</v>
      </c>
    </row>
    <row r="39" spans="3:19" x14ac:dyDescent="0.3">
      <c r="C39" t="s">
        <v>41</v>
      </c>
      <c r="E39">
        <f>SUM(E4:E6)</f>
        <v>3111</v>
      </c>
      <c r="S39">
        <f>SUM(S4:S6)</f>
        <v>3893</v>
      </c>
    </row>
    <row r="40" spans="3:19" x14ac:dyDescent="0.3">
      <c r="C40" t="s">
        <v>42</v>
      </c>
      <c r="E40">
        <f>SUM(E7:E8)</f>
        <v>5250</v>
      </c>
      <c r="S40">
        <f>SUM(S7:S8)</f>
        <v>5607</v>
      </c>
    </row>
    <row r="42" spans="3:19" x14ac:dyDescent="0.3">
      <c r="C42" t="s">
        <v>43</v>
      </c>
      <c r="E42">
        <f>SUM(E11:E12)</f>
        <v>1010</v>
      </c>
      <c r="S42">
        <f>SUM(S11:S12)</f>
        <v>1089</v>
      </c>
    </row>
    <row r="43" spans="3:19" x14ac:dyDescent="0.3">
      <c r="C43" t="s">
        <v>44</v>
      </c>
      <c r="E43">
        <f>SUM(E13)</f>
        <v>2875</v>
      </c>
      <c r="S43">
        <f>SUM(S13)</f>
        <v>3345</v>
      </c>
    </row>
    <row r="45" spans="3:19" x14ac:dyDescent="0.3">
      <c r="C45" t="s">
        <v>45</v>
      </c>
      <c r="E45">
        <f>SUM(E14:E16)</f>
        <v>4476</v>
      </c>
      <c r="S45">
        <f>SUM(S14:S16)</f>
        <v>5066</v>
      </c>
    </row>
  </sheetData>
  <conditionalFormatting sqref="C2">
    <cfRule type="containsText" dxfId="3" priority="1" operator="containsText" text="error">
      <formula>NOT(ISERROR(SEARCH("error",C2)))</formula>
    </cfRule>
    <cfRule type="containsText" dxfId="2" priority="2" operator="containsText" text="ok">
      <formula>NOT(ISERROR(SEARCH("ok",C2)))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20" ma:contentTypeDescription="Create a new document." ma:contentTypeScope="" ma:versionID="65d7d3455ea6fd7c42ce2d7936777ea9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d709bf7da12db03a5eb58c57aae37b1a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cf4e6-513c-4614-9aca-848ed9a158d1" xsi:nil="true"/>
    <lcf76f155ced4ddcb4097134ff3c332f xmlns="6879fb4f-daef-4365-8484-7d2a8b2755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81125A-1CDC-467C-9AF6-48CD42552D29}"/>
</file>

<file path=customXml/itemProps2.xml><?xml version="1.0" encoding="utf-8"?>
<ds:datastoreItem xmlns:ds="http://schemas.openxmlformats.org/officeDocument/2006/customXml" ds:itemID="{985DC47C-51CD-4100-9A94-031A1DA05DFB}"/>
</file>

<file path=customXml/itemProps3.xml><?xml version="1.0" encoding="utf-8"?>
<ds:datastoreItem xmlns:ds="http://schemas.openxmlformats.org/officeDocument/2006/customXml" ds:itemID="{157A11F9-A206-4153-AD81-BDD021825A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Cash Flow Table</vt:lpstr>
      <vt:lpstr>Macers Corp</vt:lpstr>
      <vt:lpstr>Macers Cas Flow - Direct</vt:lpstr>
      <vt:lpstr>Kelly Corp</vt:lpstr>
      <vt:lpstr>Kelly Cash Flow</vt:lpstr>
      <vt:lpstr>Macers Vs Kelly</vt:lpstr>
      <vt:lpstr>Cola Inc.</vt:lpstr>
      <vt:lpstr>Cola Inc. v2</vt:lpstr>
      <vt:lpstr>Blue Inc.</vt:lpstr>
      <vt:lpstr>Blue Inc. v2</vt:lpstr>
      <vt:lpstr>Blue Vs Cola</vt:lpstr>
      <vt:lpstr>TVM</vt:lpstr>
      <vt:lpstr>Starbucks</vt:lpstr>
      <vt:lpstr>CF Comparison Ex 1</vt:lpstr>
      <vt:lpstr>CF Comparison Ex 2</vt:lpstr>
      <vt:lpstr>STC</vt:lpstr>
      <vt:lpstr>Zain</vt:lpstr>
      <vt:lpstr>STC Vs Zain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 Sharma, CFA</cp:lastModifiedBy>
  <dcterms:created xsi:type="dcterms:W3CDTF">2018-04-02T10:44:53Z</dcterms:created>
  <dcterms:modified xsi:type="dcterms:W3CDTF">2024-11-15T19:19:16Z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0x01010045ED95FC8666AB4EB23767893E8C1A28</vt:lpwstr>
  </property>
</Properties>
</file>