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628"/>
  <workbookPr/>
  <mc:AlternateContent xmlns:mc="http://schemas.openxmlformats.org/markup-compatibility/2006">
    <mc:Choice Requires="x15">
      <x15ac:absPath xmlns:x15ac="http://schemas.microsoft.com/office/spreadsheetml/2010/11/ac" url="C:\Users\ksharma\Downloads\"/>
    </mc:Choice>
  </mc:AlternateContent>
  <xr:revisionPtr revIDLastSave="0" documentId="13_ncr:1_{27681138-A7F9-497D-881E-0D888420504B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LBO_PIK" sheetId="1" r:id="rId1"/>
    <sheet name="Sheet1" sheetId="2" r:id="rId2"/>
  </sheets>
  <definedNames>
    <definedName name="CapEx_Pct">LBO_PIK!$K$17</definedName>
    <definedName name="Change_WC_Pct">LBO_PIK!$K$16</definedName>
    <definedName name="DA_Pct_Revenue">LBO_PIK!$K$15</definedName>
    <definedName name="Debt_Princ_Repay">LBO_PIK!$F$19</definedName>
    <definedName name="EBITDA_Margin">LBO_PIK!$K$14</definedName>
    <definedName name="Interest_Rate">LBO_PIK!$F$17</definedName>
    <definedName name="Min_Cash_Pct">LBO_PIK!$K$9</definedName>
    <definedName name="PIK_Pct">LBO_PIK!$F$18</definedName>
    <definedName name="PIK_Tax_Deduct">LBO_PIK!$F$20</definedName>
    <definedName name="_xlnm.Print_Area" localSheetId="0">LBO_PIK!$A$1:$L$87</definedName>
    <definedName name="Tax_Rate">LBO_PIK!$K$10</definedName>
  </definedNames>
  <calcPr calcId="191029" calcMode="autoNoTable" iterate="1" iterateCount="100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8" i="1" l="1"/>
  <c r="K27" i="1" s="1"/>
  <c r="F77" i="1"/>
  <c r="F48" i="1"/>
  <c r="F33" i="1"/>
  <c r="G32" i="1"/>
  <c r="H32" i="1" s="1"/>
  <c r="H77" i="1" s="1"/>
  <c r="E77" i="1"/>
  <c r="J22" i="1"/>
  <c r="E22" i="1"/>
  <c r="G33" i="1" l="1"/>
  <c r="G48" i="1"/>
  <c r="H48" i="1"/>
  <c r="G77" i="1"/>
  <c r="I32" i="1"/>
  <c r="H33" i="1"/>
  <c r="F15" i="1"/>
  <c r="F65" i="1" s="1"/>
  <c r="G35" i="1"/>
  <c r="G42" i="1" l="1"/>
  <c r="G52" i="1" s="1"/>
  <c r="G53" i="1" s="1"/>
  <c r="G41" i="1"/>
  <c r="G80" i="1" s="1"/>
  <c r="G55" i="1"/>
  <c r="G56" i="1"/>
  <c r="G38" i="1"/>
  <c r="G60" i="1" s="1"/>
  <c r="G40" i="1"/>
  <c r="I77" i="1"/>
  <c r="I48" i="1"/>
  <c r="J32" i="1"/>
  <c r="I33" i="1"/>
  <c r="F66" i="1"/>
  <c r="G58" i="1" s="1"/>
  <c r="F9" i="1"/>
  <c r="K26" i="1" s="1"/>
  <c r="H35" i="1"/>
  <c r="J5" i="1"/>
  <c r="G44" i="1" l="1"/>
  <c r="G45" i="1" s="1"/>
  <c r="H55" i="1"/>
  <c r="H56" i="1"/>
  <c r="H38" i="1"/>
  <c r="H60" i="1" s="1"/>
  <c r="H40" i="1"/>
  <c r="J77" i="1"/>
  <c r="J48" i="1"/>
  <c r="K32" i="1"/>
  <c r="J33" i="1"/>
  <c r="I35" i="1"/>
  <c r="F12" i="1"/>
  <c r="F25" i="1"/>
  <c r="F79" i="1" s="1"/>
  <c r="F83" i="1" s="1"/>
  <c r="K25" i="1"/>
  <c r="G54" i="1"/>
  <c r="I55" i="1" l="1"/>
  <c r="I56" i="1"/>
  <c r="I38" i="1"/>
  <c r="I60" i="1" s="1"/>
  <c r="I40" i="1"/>
  <c r="K33" i="1"/>
  <c r="K77" i="1"/>
  <c r="K48" i="1"/>
  <c r="K28" i="1"/>
  <c r="F26" i="1" s="1"/>
  <c r="J35" i="1"/>
  <c r="H54" i="1"/>
  <c r="G46" i="1"/>
  <c r="G50" i="1" s="1"/>
  <c r="G59" i="1" s="1"/>
  <c r="J55" i="1" l="1"/>
  <c r="J56" i="1"/>
  <c r="J38" i="1"/>
  <c r="J60" i="1" s="1"/>
  <c r="J40" i="1"/>
  <c r="F27" i="1"/>
  <c r="K30" i="1" s="1"/>
  <c r="K35" i="1"/>
  <c r="K55" i="1" s="1"/>
  <c r="G61" i="1"/>
  <c r="G63" i="1" s="1"/>
  <c r="G65" i="1" s="1"/>
  <c r="I54" i="1"/>
  <c r="H41" i="1" l="1"/>
  <c r="H42" i="1"/>
  <c r="H52" i="1" s="1"/>
  <c r="H53" i="1" s="1"/>
  <c r="K56" i="1"/>
  <c r="K38" i="1"/>
  <c r="K60" i="1" s="1"/>
  <c r="K40" i="1"/>
  <c r="J54" i="1"/>
  <c r="G66" i="1" l="1"/>
  <c r="H58" i="1" s="1"/>
  <c r="G81" i="1"/>
  <c r="G83" i="1" s="1"/>
  <c r="K69" i="1"/>
  <c r="K54" i="1"/>
  <c r="H44" i="1" l="1"/>
  <c r="H80" i="1"/>
  <c r="H45" i="1" l="1"/>
  <c r="H46" i="1" s="1"/>
  <c r="H50" i="1" s="1"/>
  <c r="H59" i="1" l="1"/>
  <c r="H61" i="1" s="1"/>
  <c r="H63" i="1" l="1"/>
  <c r="H65" i="1" s="1"/>
  <c r="I41" i="1" l="1"/>
  <c r="I42" i="1"/>
  <c r="I52" i="1" s="1"/>
  <c r="I53" i="1" s="1"/>
  <c r="H81" i="1"/>
  <c r="H83" i="1" s="1"/>
  <c r="H66" i="1"/>
  <c r="I58" i="1" s="1"/>
  <c r="I80" i="1" l="1"/>
  <c r="I44" i="1"/>
  <c r="I45" i="1" s="1"/>
  <c r="I46" i="1" s="1"/>
  <c r="I50" i="1" s="1"/>
  <c r="I59" i="1" l="1"/>
  <c r="I61" i="1" s="1"/>
  <c r="I63" i="1" l="1"/>
  <c r="I65" i="1" s="1"/>
  <c r="J41" i="1" l="1"/>
  <c r="J42" i="1"/>
  <c r="J52" i="1" s="1"/>
  <c r="J53" i="1" s="1"/>
  <c r="I81" i="1"/>
  <c r="I83" i="1" s="1"/>
  <c r="I66" i="1"/>
  <c r="J58" i="1" s="1"/>
  <c r="J80" i="1" l="1"/>
  <c r="J44" i="1"/>
  <c r="J45" i="1" s="1"/>
  <c r="J46" i="1" s="1"/>
  <c r="J50" i="1" s="1"/>
  <c r="J59" i="1" s="1"/>
  <c r="J61" i="1" l="1"/>
  <c r="J63" i="1" s="1"/>
  <c r="J65" i="1" s="1"/>
  <c r="K41" i="1" l="1"/>
  <c r="K80" i="1" s="1"/>
  <c r="K42" i="1"/>
  <c r="K52" i="1" s="1"/>
  <c r="K53" i="1" s="1"/>
  <c r="J66" i="1"/>
  <c r="K58" i="1" s="1"/>
  <c r="J81" i="1"/>
  <c r="J83" i="1" s="1"/>
  <c r="K44" i="1" l="1"/>
  <c r="K45" i="1" s="1"/>
  <c r="K46" i="1" s="1"/>
  <c r="K50" i="1" s="1"/>
  <c r="K59" i="1" l="1"/>
  <c r="K61" i="1" s="1"/>
  <c r="K63" i="1" l="1"/>
  <c r="K65" i="1" s="1"/>
  <c r="K81" i="1" l="1"/>
  <c r="K82" i="1"/>
  <c r="K70" i="1"/>
  <c r="K66" i="1"/>
  <c r="K71" i="1" s="1"/>
  <c r="K72" i="1" l="1"/>
  <c r="F75" i="1" s="1"/>
  <c r="K83" i="1"/>
  <c r="F86" i="1" s="1"/>
  <c r="F85" i="1"/>
  <c r="F74" i="1" l="1"/>
</calcChain>
</file>

<file path=xl/sharedStrings.xml><?xml version="1.0" encoding="utf-8"?>
<sst xmlns="http://schemas.openxmlformats.org/spreadsheetml/2006/main" count="108" uniqueCount="76">
  <si>
    <t>Net Income:</t>
  </si>
  <si>
    <t>Debt Balance:</t>
  </si>
  <si>
    <t>EBITDA Exit Multiple:</t>
  </si>
  <si>
    <t>Equity Proceeds:</t>
  </si>
  <si>
    <t>EBITDA:</t>
  </si>
  <si>
    <t>Tax Rate:</t>
  </si>
  <si>
    <t>($ in Millions)</t>
  </si>
  <si>
    <t>Debt Used:</t>
  </si>
  <si>
    <t>Income Statement:</t>
  </si>
  <si>
    <t>Revenue:</t>
  </si>
  <si>
    <t>Interest Rate:</t>
  </si>
  <si>
    <t>Pre-Tax Income:</t>
  </si>
  <si>
    <t>EBITDA Purchase Multiple:</t>
  </si>
  <si>
    <t>Exit Enterprise Value:</t>
  </si>
  <si>
    <t>Cash Balance:</t>
  </si>
  <si>
    <t>Cash Flow Used for Debt Repayment:</t>
  </si>
  <si>
    <t>Money-on-Money (MoM) Multiple:</t>
  </si>
  <si>
    <t>Internal Rate of Return  (IRR):</t>
  </si>
  <si>
    <t>Exit Calculations:</t>
  </si>
  <si>
    <t>Growth Rate:</t>
  </si>
  <si>
    <t>(-) Taxes:</t>
  </si>
  <si>
    <t>(+/-) Change in Working Capital:</t>
  </si>
  <si>
    <t>(-) CapEx:</t>
  </si>
  <si>
    <t>(+) Free Cash Flow:</t>
  </si>
  <si>
    <t>Cash Flow Available for Debt Repayment:</t>
  </si>
  <si>
    <t>Minimum Cash % EBITDA:</t>
  </si>
  <si>
    <t>(-) Debt:</t>
  </si>
  <si>
    <t>(+) Cash:</t>
  </si>
  <si>
    <t>Purchase Enterprise Value:</t>
  </si>
  <si>
    <t>Sources &amp; Uses:</t>
  </si>
  <si>
    <t>Uses:</t>
  </si>
  <si>
    <t>Total Uses:</t>
  </si>
  <si>
    <t>CHECK:</t>
  </si>
  <si>
    <t>Sources:</t>
  </si>
  <si>
    <t>Total Sources:</t>
  </si>
  <si>
    <t>%</t>
  </si>
  <si>
    <t>$ M</t>
  </si>
  <si>
    <t>Transaction Assumptions:</t>
  </si>
  <si>
    <t>Units:</t>
  </si>
  <si>
    <t>x</t>
  </si>
  <si>
    <t>Leverage Ratio:</t>
  </si>
  <si>
    <t>Investor Equity:</t>
  </si>
  <si>
    <t>Purchase Equity Value:</t>
  </si>
  <si>
    <t>New Debt Issued:</t>
  </si>
  <si>
    <t>Minimum Cash:</t>
  </si>
  <si>
    <t>(-) Cash Interest Expense:</t>
  </si>
  <si>
    <t>(-) Paid-in-Kind (PIK) Interest:</t>
  </si>
  <si>
    <t>(+) Paid-in-Kind Interest:</t>
  </si>
  <si>
    <t>Returns to Lenders:</t>
  </si>
  <si>
    <t>(-) Upfront Investment:</t>
  </si>
  <si>
    <t>(+) Cash Interest:</t>
  </si>
  <si>
    <t>Net Cash Flows:</t>
  </si>
  <si>
    <t>Allow Principal Repayments:</t>
  </si>
  <si>
    <t>Y/N</t>
  </si>
  <si>
    <t>PIK Interest Tax Deductible:</t>
  </si>
  <si>
    <t>(+/-) Deferred Taxes:</t>
  </si>
  <si>
    <t>Simple LBO Model Example - PIK vs. Cash Interest</t>
  </si>
  <si>
    <t>Fees % Purchase TEV:</t>
  </si>
  <si>
    <t>Total Fees:</t>
  </si>
  <si>
    <t>Cash Flow &amp; Debt Repayment:</t>
  </si>
  <si>
    <t>EBITDA Margin:</t>
  </si>
  <si>
    <t>D&amp;A % Revenue:</t>
  </si>
  <si>
    <t>WC Change % Change in Rev:</t>
  </si>
  <si>
    <t>CapEx % Change in Revenue:</t>
  </si>
  <si>
    <t>(+) Debt Principal Repayments:</t>
  </si>
  <si>
    <t>(+) Debt Principal Repaid Upon Exit:</t>
  </si>
  <si>
    <t>PIK Portion of Interest:</t>
  </si>
  <si>
    <t>(-) Depreciation &amp; Amort.:</t>
  </si>
  <si>
    <t>(+) Depreciation &amp; Amort.:</t>
  </si>
  <si>
    <t>(+) Beginning Cash:</t>
  </si>
  <si>
    <t>(-) Minimum Cash:</t>
  </si>
  <si>
    <t>1 = Yes, 0 = No</t>
  </si>
  <si>
    <t>NON CASH ITEM</t>
  </si>
  <si>
    <t>ADDED BACK</t>
  </si>
  <si>
    <t>Sponsor on No PIK</t>
  </si>
  <si>
    <t>Lender on no PIK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</si>
</sst>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42" formatCode="_(&quot;$&quot;* #,##0_);_(&quot;$&quot;* \(#,##0\);_(&quot;$&quot;* &quot;-&quot;_);_(@_)"/>
    <numFmt numFmtId="41" formatCode="_(* #,##0_);_(* \(#,##0\);_(* &quot;-&quot;_);_(@_)"/>
    <numFmt numFmtId="164" formatCode="0.0\ \x"/>
    <numFmt numFmtId="165" formatCode="_(* #,##0.0_);_(* \(#,##0.0\);_(* &quot;-&quot;?_);_(@_)"/>
    <numFmt numFmtId="166" formatCode="0.0%;\(0.0%\)"/>
    <numFmt numFmtId="167" formatCode="_(* #,##0_);_(* \(#,##0\);_(* &quot;-&quot;?_);_(@_)"/>
    <numFmt numFmtId="168" formatCode="0%;\(0%\)"/>
    <numFmt numFmtId="169" formatCode="&quot;$&quot;#,##0.0_);\(&quot;$&quot;#,##0.0\);&quot;OK!&quot;;&quot;ERROR&quot;"/>
    <numFmt numFmtId="170" formatCode="_(&quot;$&quot;* #,##0_);_(&quot;$&quot;* \(#,##0\);_(&quot;$&quot;* &quot;-&quot;?_);_(@_)"/>
    <numFmt numFmtId="171" formatCode="&quot;Yes&quot;;;&quot;No&quot;"/>
    <numFmt numFmtId="172" formatCode="0.000\ \x"/>
    <numFmt numFmtId="173" formatCode="0.0%"/>
    <numFmt numFmtId="174" formatCode="0.00\ \x"/>
    <numFmt numFmtId="175" formatCode="0.00%;\(0.00%\)"/>
  </numFmts>
  <fonts count="16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indexed="9"/>
      <name val="Calibri"/>
      <family val="2"/>
      <scheme val="minor"/>
    </font>
    <font>
      <b/>
      <u/>
      <sz val="12"/>
      <color indexed="9"/>
      <name val="Calibri"/>
      <family val="2"/>
      <scheme val="minor"/>
    </font>
    <font>
      <u/>
      <sz val="12"/>
      <color indexed="9"/>
      <name val="Calibri"/>
      <family val="2"/>
      <scheme val="minor"/>
    </font>
    <font>
      <sz val="12"/>
      <color rgb="FF0000FF"/>
      <name val="Calibri"/>
      <family val="2"/>
      <scheme val="minor"/>
    </font>
    <font>
      <sz val="12"/>
      <color rgb="FF0000FF"/>
      <name val="Calibri"/>
      <family val="2"/>
    </font>
    <font>
      <b/>
      <sz val="14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sz val="10"/>
      <name val="Arial"/>
      <family val="2"/>
    </font>
    <font>
      <b/>
      <i/>
      <sz val="12"/>
      <color indexed="9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1F497D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C000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auto="1"/>
      </left>
      <right/>
      <top/>
      <bottom/>
      <diagonal/>
    </border>
  </borders>
  <cellStyleXfs count="4">
    <xf numFmtId="0" fontId="0" fillId="0" borderId="0"/>
    <xf numFmtId="0" fontId="3" fillId="2" borderId="7" applyNumberFormat="0" applyFont="0" applyAlignment="0" applyProtection="0"/>
    <xf numFmtId="0" fontId="14" fillId="0" borderId="0"/>
    <xf numFmtId="9" fontId="3" fillId="0" borderId="0" applyFont="0" applyFill="0" applyBorder="0" applyAlignment="0" applyProtection="0"/>
  </cellStyleXfs>
  <cellXfs count="82">
    <xf numFmtId="0" fontId="0" fillId="0" borderId="0" xfId="0"/>
    <xf numFmtId="0" fontId="4" fillId="0" borderId="0" xfId="0" applyFont="1"/>
    <xf numFmtId="0" fontId="5" fillId="0" borderId="0" xfId="0" applyFont="1"/>
    <xf numFmtId="0" fontId="6" fillId="5" borderId="5" xfId="0" applyFont="1" applyFill="1" applyBorder="1" applyAlignment="1">
      <alignment horizontal="left"/>
    </xf>
    <xf numFmtId="0" fontId="7" fillId="5" borderId="5" xfId="0" applyFont="1" applyFill="1" applyBorder="1" applyAlignment="1">
      <alignment horizontal="left"/>
    </xf>
    <xf numFmtId="0" fontId="8" fillId="5" borderId="5" xfId="0" applyFont="1" applyFill="1" applyBorder="1" applyAlignment="1">
      <alignment horizontal="left"/>
    </xf>
    <xf numFmtId="164" fontId="9" fillId="4" borderId="7" xfId="0" applyNumberFormat="1" applyFont="1" applyFill="1" applyBorder="1" applyAlignment="1">
      <alignment horizontal="center"/>
    </xf>
    <xf numFmtId="42" fontId="5" fillId="0" borderId="0" xfId="0" applyNumberFormat="1" applyFont="1"/>
    <xf numFmtId="166" fontId="10" fillId="4" borderId="7" xfId="1" applyNumberFormat="1" applyFont="1" applyFill="1" applyAlignment="1">
      <alignment horizontal="center"/>
    </xf>
    <xf numFmtId="41" fontId="5" fillId="0" borderId="0" xfId="0" applyNumberFormat="1" applyFont="1"/>
    <xf numFmtId="0" fontId="4" fillId="3" borderId="5" xfId="0" applyFont="1" applyFill="1" applyBorder="1"/>
    <xf numFmtId="0" fontId="5" fillId="3" borderId="5" xfId="0" applyFont="1" applyFill="1" applyBorder="1"/>
    <xf numFmtId="42" fontId="5" fillId="0" borderId="0" xfId="0" applyNumberFormat="1" applyFont="1" applyAlignment="1">
      <alignment horizontal="center"/>
    </xf>
    <xf numFmtId="0" fontId="4" fillId="0" borderId="0" xfId="0" applyFont="1" applyAlignment="1">
      <alignment horizontal="center"/>
    </xf>
    <xf numFmtId="165" fontId="5" fillId="0" borderId="0" xfId="0" applyNumberFormat="1" applyFont="1"/>
    <xf numFmtId="0" fontId="5" fillId="0" borderId="0" xfId="0" applyFont="1" applyAlignment="1">
      <alignment horizontal="left" indent="1"/>
    </xf>
    <xf numFmtId="42" fontId="4" fillId="0" borderId="0" xfId="0" applyNumberFormat="1" applyFont="1"/>
    <xf numFmtId="0" fontId="4" fillId="0" borderId="2" xfId="0" applyFont="1" applyBorder="1"/>
    <xf numFmtId="0" fontId="5" fillId="0" borderId="2" xfId="0" applyFont="1" applyBorder="1"/>
    <xf numFmtId="42" fontId="4" fillId="0" borderId="2" xfId="0" applyNumberFormat="1" applyFont="1" applyBorder="1"/>
    <xf numFmtId="0" fontId="11" fillId="0" borderId="0" xfId="0" applyFont="1"/>
    <xf numFmtId="42" fontId="9" fillId="0" borderId="0" xfId="0" applyNumberFormat="1" applyFont="1" applyAlignment="1">
      <alignment horizontal="center"/>
    </xf>
    <xf numFmtId="167" fontId="4" fillId="0" borderId="2" xfId="0" applyNumberFormat="1" applyFont="1" applyBorder="1"/>
    <xf numFmtId="41" fontId="9" fillId="4" borderId="7" xfId="1" applyNumberFormat="1" applyFont="1" applyFill="1"/>
    <xf numFmtId="168" fontId="10" fillId="4" borderId="7" xfId="1" applyNumberFormat="1" applyFont="1" applyFill="1" applyAlignment="1">
      <alignment horizontal="center"/>
    </xf>
    <xf numFmtId="0" fontId="4" fillId="6" borderId="1" xfId="0" applyFont="1" applyFill="1" applyBorder="1"/>
    <xf numFmtId="0" fontId="5" fillId="6" borderId="2" xfId="0" applyFont="1" applyFill="1" applyBorder="1"/>
    <xf numFmtId="0" fontId="4" fillId="6" borderId="4" xfId="0" applyFont="1" applyFill="1" applyBorder="1"/>
    <xf numFmtId="0" fontId="5" fillId="6" borderId="5" xfId="0" applyFont="1" applyFill="1" applyBorder="1"/>
    <xf numFmtId="0" fontId="2" fillId="0" borderId="0" xfId="0" applyFont="1"/>
    <xf numFmtId="0" fontId="4" fillId="3" borderId="5" xfId="0" applyFont="1" applyFill="1" applyBorder="1" applyAlignment="1">
      <alignment horizontal="centerContinuous"/>
    </xf>
    <xf numFmtId="0" fontId="2" fillId="3" borderId="5" xfId="0" applyFont="1" applyFill="1" applyBorder="1" applyAlignment="1">
      <alignment horizontal="centerContinuous"/>
    </xf>
    <xf numFmtId="0" fontId="2" fillId="0" borderId="0" xfId="0" applyFont="1" applyAlignment="1">
      <alignment horizontal="left" indent="1"/>
    </xf>
    <xf numFmtId="0" fontId="4" fillId="0" borderId="2" xfId="0" applyFont="1" applyBorder="1" applyAlignment="1">
      <alignment horizontal="left"/>
    </xf>
    <xf numFmtId="0" fontId="2" fillId="0" borderId="2" xfId="0" applyFont="1" applyBorder="1"/>
    <xf numFmtId="169" fontId="4" fillId="0" borderId="0" xfId="0" applyNumberFormat="1" applyFont="1" applyAlignment="1">
      <alignment horizontal="center"/>
    </xf>
    <xf numFmtId="0" fontId="2" fillId="0" borderId="5" xfId="0" applyFont="1" applyBorder="1"/>
    <xf numFmtId="0" fontId="12" fillId="0" borderId="0" xfId="0" applyFont="1" applyAlignment="1">
      <alignment horizontal="center"/>
    </xf>
    <xf numFmtId="0" fontId="6" fillId="5" borderId="5" xfId="0" applyFont="1" applyFill="1" applyBorder="1" applyAlignment="1">
      <alignment horizontal="center"/>
    </xf>
    <xf numFmtId="0" fontId="15" fillId="5" borderId="5" xfId="0" applyFont="1" applyFill="1" applyBorder="1" applyAlignment="1">
      <alignment horizontal="center"/>
    </xf>
    <xf numFmtId="166" fontId="10" fillId="0" borderId="0" xfId="1" applyNumberFormat="1" applyFont="1" applyFill="1" applyBorder="1" applyAlignment="1">
      <alignment horizontal="center"/>
    </xf>
    <xf numFmtId="0" fontId="8" fillId="0" borderId="0" xfId="0" applyFont="1" applyAlignment="1">
      <alignment horizontal="left"/>
    </xf>
    <xf numFmtId="170" fontId="2" fillId="0" borderId="0" xfId="0" applyNumberFormat="1" applyFont="1"/>
    <xf numFmtId="167" fontId="13" fillId="0" borderId="0" xfId="2" applyNumberFormat="1" applyFont="1"/>
    <xf numFmtId="170" fontId="4" fillId="0" borderId="2" xfId="0" applyNumberFormat="1" applyFont="1" applyBorder="1"/>
    <xf numFmtId="164" fontId="4" fillId="6" borderId="3" xfId="0" applyNumberFormat="1" applyFont="1" applyFill="1" applyBorder="1" applyAlignment="1">
      <alignment horizontal="center"/>
    </xf>
    <xf numFmtId="0" fontId="12" fillId="0" borderId="5" xfId="0" applyFont="1" applyBorder="1" applyAlignment="1">
      <alignment horizontal="center"/>
    </xf>
    <xf numFmtId="41" fontId="4" fillId="0" borderId="2" xfId="0" applyNumberFormat="1" applyFont="1" applyBorder="1"/>
    <xf numFmtId="0" fontId="4" fillId="0" borderId="0" xfId="0" applyFont="1" applyAlignment="1">
      <alignment horizontal="left"/>
    </xf>
    <xf numFmtId="170" fontId="4" fillId="0" borderId="0" xfId="0" applyNumberFormat="1" applyFont="1"/>
    <xf numFmtId="0" fontId="1" fillId="0" borderId="0" xfId="0" applyFont="1" applyAlignment="1">
      <alignment horizontal="left" indent="1"/>
    </xf>
    <xf numFmtId="0" fontId="1" fillId="0" borderId="0" xfId="0" applyFont="1"/>
    <xf numFmtId="166" fontId="4" fillId="6" borderId="6" xfId="0" applyNumberFormat="1" applyFont="1" applyFill="1" applyBorder="1" applyAlignment="1">
      <alignment horizontal="center"/>
    </xf>
    <xf numFmtId="42" fontId="9" fillId="0" borderId="0" xfId="0" applyNumberFormat="1" applyFont="1"/>
    <xf numFmtId="41" fontId="9" fillId="0" borderId="0" xfId="0" applyNumberFormat="1" applyFont="1"/>
    <xf numFmtId="0" fontId="5" fillId="0" borderId="8" xfId="0" applyFont="1" applyBorder="1"/>
    <xf numFmtId="171" fontId="9" fillId="4" borderId="7" xfId="0" applyNumberFormat="1" applyFont="1" applyFill="1" applyBorder="1" applyAlignment="1">
      <alignment horizontal="center"/>
    </xf>
    <xf numFmtId="168" fontId="5" fillId="0" borderId="0" xfId="0" applyNumberFormat="1" applyFont="1" applyAlignment="1">
      <alignment horizontal="center"/>
    </xf>
    <xf numFmtId="0" fontId="5" fillId="0" borderId="0" xfId="0" applyFont="1" applyAlignment="1">
      <alignment horizontal="left" indent="2"/>
    </xf>
    <xf numFmtId="0" fontId="4" fillId="0" borderId="2" xfId="0" applyFont="1" applyBorder="1" applyAlignment="1">
      <alignment horizontal="left" indent="1"/>
    </xf>
    <xf numFmtId="0" fontId="5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167" fontId="5" fillId="0" borderId="0" xfId="0" applyNumberFormat="1" applyFont="1"/>
    <xf numFmtId="0" fontId="6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1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172" fontId="4" fillId="6" borderId="3" xfId="0" applyNumberFormat="1" applyFont="1" applyFill="1" applyBorder="1" applyAlignment="1">
      <alignment horizontal="center"/>
    </xf>
    <xf numFmtId="9" fontId="5" fillId="0" borderId="0" xfId="3" applyFont="1"/>
    <xf numFmtId="173" fontId="5" fillId="0" borderId="0" xfId="3" applyNumberFormat="1" applyFont="1"/>
    <xf numFmtId="9" fontId="5" fillId="0" borderId="0" xfId="0" applyNumberFormat="1" applyFont="1"/>
    <xf numFmtId="10" fontId="5" fillId="0" borderId="0" xfId="3" applyNumberFormat="1" applyFont="1"/>
    <xf numFmtId="173" fontId="5" fillId="0" borderId="0" xfId="0" applyNumberFormat="1" applyFont="1"/>
    <xf numFmtId="0" fontId="1" fillId="7" borderId="0" xfId="0" applyFont="1" applyFill="1"/>
    <xf numFmtId="0" fontId="5" fillId="7" borderId="0" xfId="0" applyFont="1" applyFill="1"/>
    <xf numFmtId="0" fontId="12" fillId="7" borderId="0" xfId="0" applyFont="1" applyFill="1" applyAlignment="1">
      <alignment horizontal="center"/>
    </xf>
    <xf numFmtId="41" fontId="5" fillId="7" borderId="0" xfId="0" applyNumberFormat="1" applyFont="1" applyFill="1"/>
    <xf numFmtId="0" fontId="5" fillId="8" borderId="0" xfId="0" applyFont="1" applyFill="1"/>
    <xf numFmtId="0" fontId="1" fillId="8" borderId="0" xfId="0" applyFont="1" applyFill="1"/>
    <xf numFmtId="174" fontId="4" fillId="6" borderId="3" xfId="0" applyNumberFormat="1" applyFont="1" applyFill="1" applyBorder="1" applyAlignment="1">
      <alignment horizontal="center"/>
    </xf>
    <xf numFmtId="10" fontId="5" fillId="6" borderId="5" xfId="3" applyNumberFormat="1" applyFont="1" applyFill="1" applyBorder="1"/>
    <xf numFmtId="175" fontId="4" fillId="6" borderId="6" xfId="0" applyNumberFormat="1" applyFont="1" applyFill="1" applyBorder="1" applyAlignment="1">
      <alignment horizontal="center"/>
    </xf>
  </cellXfs>
  <cellStyles count="4">
    <cellStyle name="Normal" xfId="0" builtinId="0"/>
    <cellStyle name="Normal 2" xfId="2" xr:uid="{E28F3379-423F-4FF8-8C0E-ABECB8E31219}"/>
    <cellStyle name="Note" xfId="1" builtinId="10"/>
    <cellStyle name="Percent" xfId="3" builtinId="5"/>
  </cellStyles>
  <dxfs count="0"/>
  <tableStyles count="0" defaultTableStyle="TableStyleMedium2" defaultPivotStyle="PivotStyleLight16"/>
  <colors>
    <mruColors>
      <color rgb="FF0000FF"/>
      <color rgb="FF1F497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autoPageBreaks="0"/>
  </sheetPr>
  <dimension ref="B2:S110"/>
  <sheetViews>
    <sheetView showGridLines="0" tabSelected="1" zoomScale="85" zoomScaleNormal="85" workbookViewId="0">
      <selection activeCell="M11" sqref="M11"/>
    </sheetView>
  </sheetViews>
  <sheetFormatPr defaultColWidth="9.08984375" defaultRowHeight="15.5" outlineLevelRow="1" x14ac:dyDescent="0.35"/>
  <cols>
    <col min="1" max="2" width="2.6328125" style="2" customWidth="1"/>
    <col min="3" max="6" width="13.6328125" style="2" customWidth="1"/>
    <col min="7" max="7" width="15.36328125" style="2" customWidth="1"/>
    <col min="8" max="11" width="13.6328125" style="2" customWidth="1"/>
    <col min="12" max="12" width="13.26953125" style="2" customWidth="1"/>
    <col min="13" max="15" width="10.6328125" style="2" customWidth="1"/>
    <col min="16" max="16" width="13" style="2" customWidth="1"/>
    <col min="17" max="17" width="10.6328125" style="2" customWidth="1"/>
    <col min="18" max="16384" width="9.08984375" style="2"/>
  </cols>
  <sheetData>
    <row r="2" spans="2:12" ht="18.5" x14ac:dyDescent="0.45">
      <c r="B2" s="20" t="s">
        <v>56</v>
      </c>
    </row>
    <row r="3" spans="2:12" x14ac:dyDescent="0.35">
      <c r="B3" s="2" t="s">
        <v>6</v>
      </c>
    </row>
    <row r="5" spans="2:12" x14ac:dyDescent="0.35">
      <c r="B5" s="3" t="s">
        <v>37</v>
      </c>
      <c r="C5" s="4"/>
      <c r="D5" s="4"/>
      <c r="E5" s="39" t="s">
        <v>38</v>
      </c>
      <c r="F5" s="5"/>
      <c r="G5" s="4"/>
      <c r="H5" s="5"/>
      <c r="I5" s="5"/>
      <c r="J5" s="39" t="str">
        <f>$E$5</f>
        <v>Units:</v>
      </c>
      <c r="K5" s="5"/>
      <c r="L5" s="41"/>
    </row>
    <row r="7" spans="2:12" x14ac:dyDescent="0.35">
      <c r="C7" s="2" t="s">
        <v>12</v>
      </c>
      <c r="E7" s="37" t="s">
        <v>39</v>
      </c>
      <c r="F7" s="6">
        <v>12</v>
      </c>
      <c r="H7" s="2" t="s">
        <v>2</v>
      </c>
      <c r="J7" s="37" t="s">
        <v>39</v>
      </c>
      <c r="K7" s="6">
        <v>12</v>
      </c>
    </row>
    <row r="9" spans="2:12" x14ac:dyDescent="0.35">
      <c r="C9" s="1" t="s">
        <v>28</v>
      </c>
      <c r="E9" s="37" t="s">
        <v>36</v>
      </c>
      <c r="F9" s="16">
        <f>F7*F38</f>
        <v>750</v>
      </c>
      <c r="H9" s="2" t="s">
        <v>25</v>
      </c>
      <c r="J9" s="37" t="s">
        <v>35</v>
      </c>
      <c r="K9" s="8">
        <v>0.2</v>
      </c>
    </row>
    <row r="10" spans="2:12" x14ac:dyDescent="0.35">
      <c r="C10" s="32" t="s">
        <v>27</v>
      </c>
      <c r="E10" s="37" t="s">
        <v>36</v>
      </c>
      <c r="F10" s="23">
        <v>50</v>
      </c>
      <c r="H10" s="2" t="s">
        <v>5</v>
      </c>
      <c r="J10" s="37" t="s">
        <v>35</v>
      </c>
      <c r="K10" s="8">
        <v>0.25</v>
      </c>
    </row>
    <row r="11" spans="2:12" x14ac:dyDescent="0.35">
      <c r="C11" s="32" t="s">
        <v>26</v>
      </c>
      <c r="E11" s="46" t="s">
        <v>36</v>
      </c>
      <c r="F11" s="23">
        <v>-100</v>
      </c>
    </row>
    <row r="12" spans="2:12" x14ac:dyDescent="0.35">
      <c r="C12" s="17" t="s">
        <v>42</v>
      </c>
      <c r="D12" s="18"/>
      <c r="E12" s="37" t="s">
        <v>36</v>
      </c>
      <c r="F12" s="47">
        <f>SUM(F9:F11)</f>
        <v>700</v>
      </c>
      <c r="H12" s="51" t="s">
        <v>57</v>
      </c>
      <c r="J12" s="37" t="s">
        <v>35</v>
      </c>
      <c r="K12" s="8">
        <v>0.02</v>
      </c>
    </row>
    <row r="13" spans="2:12" x14ac:dyDescent="0.35">
      <c r="H13" s="29"/>
      <c r="J13" s="37"/>
      <c r="K13" s="40"/>
      <c r="L13" s="40"/>
    </row>
    <row r="14" spans="2:12" x14ac:dyDescent="0.35">
      <c r="C14" s="29" t="s">
        <v>40</v>
      </c>
      <c r="E14" s="37" t="s">
        <v>39</v>
      </c>
      <c r="F14" s="6">
        <v>5</v>
      </c>
      <c r="H14" s="51" t="s">
        <v>60</v>
      </c>
      <c r="J14" s="37" t="s">
        <v>35</v>
      </c>
      <c r="K14" s="24">
        <v>0.25</v>
      </c>
    </row>
    <row r="15" spans="2:12" x14ac:dyDescent="0.35">
      <c r="C15" s="29" t="s">
        <v>7</v>
      </c>
      <c r="E15" s="37" t="s">
        <v>36</v>
      </c>
      <c r="F15" s="9">
        <f>F14*F38</f>
        <v>312.5</v>
      </c>
      <c r="H15" s="51" t="s">
        <v>61</v>
      </c>
      <c r="J15" s="37" t="s">
        <v>35</v>
      </c>
      <c r="K15" s="24">
        <v>7.0000000000000007E-2</v>
      </c>
    </row>
    <row r="16" spans="2:12" x14ac:dyDescent="0.35">
      <c r="H16" s="51" t="s">
        <v>62</v>
      </c>
      <c r="J16" s="37" t="s">
        <v>35</v>
      </c>
      <c r="K16" s="24">
        <v>-0.05</v>
      </c>
    </row>
    <row r="17" spans="2:12" x14ac:dyDescent="0.35">
      <c r="C17" s="2" t="s">
        <v>10</v>
      </c>
      <c r="E17" s="37" t="s">
        <v>35</v>
      </c>
      <c r="F17" s="8">
        <v>0.08</v>
      </c>
      <c r="H17" s="51" t="s">
        <v>63</v>
      </c>
      <c r="J17" s="37" t="s">
        <v>35</v>
      </c>
      <c r="K17" s="24">
        <v>0.15</v>
      </c>
    </row>
    <row r="18" spans="2:12" x14ac:dyDescent="0.35">
      <c r="C18" s="51" t="s">
        <v>66</v>
      </c>
      <c r="E18" s="37" t="s">
        <v>35</v>
      </c>
      <c r="F18" s="8">
        <v>1</v>
      </c>
      <c r="G18" s="77"/>
    </row>
    <row r="19" spans="2:12" x14ac:dyDescent="0.35">
      <c r="C19" s="51" t="s">
        <v>52</v>
      </c>
      <c r="E19" s="37" t="s">
        <v>53</v>
      </c>
      <c r="F19" s="56">
        <v>1</v>
      </c>
      <c r="G19" s="78" t="s">
        <v>71</v>
      </c>
    </row>
    <row r="20" spans="2:12" x14ac:dyDescent="0.35">
      <c r="C20" s="51" t="s">
        <v>54</v>
      </c>
      <c r="E20" s="37" t="s">
        <v>53</v>
      </c>
      <c r="F20" s="56">
        <v>1</v>
      </c>
    </row>
    <row r="22" spans="2:12" x14ac:dyDescent="0.35">
      <c r="B22" s="3" t="s">
        <v>29</v>
      </c>
      <c r="C22" s="4"/>
      <c r="D22" s="4"/>
      <c r="E22" s="39" t="str">
        <f>$E$5</f>
        <v>Units:</v>
      </c>
      <c r="F22" s="4"/>
      <c r="G22" s="4"/>
      <c r="H22" s="5"/>
      <c r="I22" s="5"/>
      <c r="J22" s="39" t="str">
        <f>$E$5</f>
        <v>Units:</v>
      </c>
      <c r="K22" s="5"/>
    </row>
    <row r="24" spans="2:12" x14ac:dyDescent="0.35">
      <c r="C24" s="30" t="s">
        <v>33</v>
      </c>
      <c r="D24" s="31"/>
      <c r="E24" s="30"/>
      <c r="F24" s="30"/>
      <c r="H24" s="30" t="s">
        <v>30</v>
      </c>
      <c r="I24" s="31"/>
      <c r="J24" s="31"/>
      <c r="K24" s="31"/>
    </row>
    <row r="25" spans="2:12" x14ac:dyDescent="0.35">
      <c r="C25" s="32" t="s">
        <v>43</v>
      </c>
      <c r="D25" s="29"/>
      <c r="E25" s="37" t="s">
        <v>36</v>
      </c>
      <c r="F25" s="42">
        <f>F15</f>
        <v>312.5</v>
      </c>
      <c r="H25" s="50" t="s">
        <v>28</v>
      </c>
      <c r="I25" s="29"/>
      <c r="J25" s="37" t="s">
        <v>36</v>
      </c>
      <c r="K25" s="42">
        <f>F9</f>
        <v>750</v>
      </c>
    </row>
    <row r="26" spans="2:12" x14ac:dyDescent="0.35">
      <c r="C26" s="32" t="s">
        <v>41</v>
      </c>
      <c r="D26" s="36"/>
      <c r="E26" s="46" t="s">
        <v>36</v>
      </c>
      <c r="F26" s="43">
        <f>K28-F25</f>
        <v>465</v>
      </c>
      <c r="H26" s="50" t="s">
        <v>58</v>
      </c>
      <c r="I26" s="29"/>
      <c r="J26" s="37" t="s">
        <v>36</v>
      </c>
      <c r="K26" s="43">
        <f>K12*F9</f>
        <v>15</v>
      </c>
    </row>
    <row r="27" spans="2:12" x14ac:dyDescent="0.35">
      <c r="C27" s="33" t="s">
        <v>34</v>
      </c>
      <c r="D27" s="29"/>
      <c r="E27" s="37" t="s">
        <v>36</v>
      </c>
      <c r="F27" s="44">
        <f>SUM(F25:F26)</f>
        <v>777.5</v>
      </c>
      <c r="H27" s="50" t="s">
        <v>44</v>
      </c>
      <c r="I27" s="29"/>
      <c r="J27" s="46" t="s">
        <v>36</v>
      </c>
      <c r="K27" s="43">
        <f>F38*Min_Cash_Pct</f>
        <v>12.5</v>
      </c>
    </row>
    <row r="28" spans="2:12" x14ac:dyDescent="0.35">
      <c r="C28" s="48"/>
      <c r="D28" s="29"/>
      <c r="F28" s="49"/>
      <c r="H28" s="33" t="s">
        <v>31</v>
      </c>
      <c r="I28" s="34"/>
      <c r="J28" s="37" t="s">
        <v>36</v>
      </c>
      <c r="K28" s="44">
        <f>SUM(K25:K27)</f>
        <v>777.5</v>
      </c>
    </row>
    <row r="29" spans="2:12" x14ac:dyDescent="0.35">
      <c r="H29" s="29"/>
      <c r="I29" s="29"/>
      <c r="J29" s="29"/>
      <c r="K29" s="29"/>
    </row>
    <row r="30" spans="2:12" x14ac:dyDescent="0.35">
      <c r="H30" s="1" t="s">
        <v>32</v>
      </c>
      <c r="I30" s="29"/>
      <c r="J30" s="29"/>
      <c r="K30" s="35">
        <f>F27-K28</f>
        <v>0</v>
      </c>
      <c r="L30" s="29"/>
    </row>
    <row r="32" spans="2:12" outlineLevel="1" x14ac:dyDescent="0.35">
      <c r="F32" s="61">
        <v>0</v>
      </c>
      <c r="G32" s="60">
        <f>F32+1</f>
        <v>1</v>
      </c>
      <c r="H32" s="60">
        <f t="shared" ref="H32:K32" si="0">G32+1</f>
        <v>2</v>
      </c>
      <c r="I32" s="60">
        <f t="shared" si="0"/>
        <v>3</v>
      </c>
      <c r="J32" s="60">
        <f t="shared" si="0"/>
        <v>4</v>
      </c>
      <c r="K32" s="60">
        <f t="shared" si="0"/>
        <v>5</v>
      </c>
    </row>
    <row r="33" spans="2:12" x14ac:dyDescent="0.35">
      <c r="B33" s="3" t="s">
        <v>8</v>
      </c>
      <c r="C33" s="4"/>
      <c r="D33" s="4"/>
      <c r="E33" s="39"/>
      <c r="F33" s="38" t="str">
        <f>"Year "&amp;$F$32</f>
        <v>Year 0</v>
      </c>
      <c r="G33" s="38" t="str">
        <f>"Year "&amp;$G$32</f>
        <v>Year 1</v>
      </c>
      <c r="H33" s="38" t="str">
        <f>"Year "&amp;$H$32</f>
        <v>Year 2</v>
      </c>
      <c r="I33" s="38" t="str">
        <f>"Year "&amp;$I$32</f>
        <v>Year 3</v>
      </c>
      <c r="J33" s="38" t="str">
        <f>"Year "&amp;$J$32</f>
        <v>Year 4</v>
      </c>
      <c r="K33" s="38" t="str">
        <f>"Year "&amp;$K$32</f>
        <v>Year 5</v>
      </c>
    </row>
    <row r="34" spans="2:12" x14ac:dyDescent="0.35">
      <c r="B34" s="63"/>
      <c r="C34" s="64"/>
      <c r="D34" s="64"/>
      <c r="E34" s="65"/>
      <c r="F34" s="66"/>
      <c r="G34" s="66"/>
      <c r="H34" s="66"/>
      <c r="I34" s="66"/>
      <c r="J34" s="66"/>
      <c r="K34" s="66"/>
    </row>
    <row r="35" spans="2:12" x14ac:dyDescent="0.35">
      <c r="B35" s="1"/>
      <c r="C35" s="2" t="s">
        <v>9</v>
      </c>
      <c r="E35" s="37"/>
      <c r="F35" s="21">
        <v>250</v>
      </c>
      <c r="G35" s="12">
        <f>F35*(1+G36)</f>
        <v>275</v>
      </c>
      <c r="H35" s="12">
        <f t="shared" ref="H35:K35" si="1">G35*(1+H36)</f>
        <v>297</v>
      </c>
      <c r="I35" s="12">
        <f t="shared" si="1"/>
        <v>314.82</v>
      </c>
      <c r="J35" s="12">
        <f t="shared" si="1"/>
        <v>330.56099999999998</v>
      </c>
      <c r="K35" s="12">
        <f t="shared" si="1"/>
        <v>347.08904999999999</v>
      </c>
    </row>
    <row r="36" spans="2:12" x14ac:dyDescent="0.35">
      <c r="B36" s="1"/>
      <c r="C36" s="15" t="s">
        <v>19</v>
      </c>
      <c r="E36" s="37"/>
      <c r="F36" s="13"/>
      <c r="G36" s="24">
        <v>0.1</v>
      </c>
      <c r="H36" s="24">
        <v>0.08</v>
      </c>
      <c r="I36" s="24">
        <v>0.06</v>
      </c>
      <c r="J36" s="24">
        <v>0.05</v>
      </c>
      <c r="K36" s="24">
        <v>0.05</v>
      </c>
    </row>
    <row r="37" spans="2:12" x14ac:dyDescent="0.35">
      <c r="B37" s="1"/>
      <c r="F37" s="13"/>
      <c r="G37" s="13"/>
      <c r="H37" s="13"/>
      <c r="I37" s="13"/>
      <c r="J37" s="13"/>
      <c r="K37" s="13"/>
    </row>
    <row r="38" spans="2:12" x14ac:dyDescent="0.35">
      <c r="C38" s="2" t="s">
        <v>4</v>
      </c>
      <c r="E38" s="37"/>
      <c r="F38" s="9">
        <f t="shared" ref="F38:K38" si="2">F35*EBITDA_Margin</f>
        <v>62.5</v>
      </c>
      <c r="G38" s="9">
        <f t="shared" si="2"/>
        <v>68.75</v>
      </c>
      <c r="H38" s="9">
        <f t="shared" si="2"/>
        <v>74.25</v>
      </c>
      <c r="I38" s="9">
        <f t="shared" si="2"/>
        <v>78.704999999999998</v>
      </c>
      <c r="J38" s="9">
        <f t="shared" si="2"/>
        <v>82.640249999999995</v>
      </c>
      <c r="K38" s="9">
        <f t="shared" si="2"/>
        <v>86.772262499999997</v>
      </c>
    </row>
    <row r="40" spans="2:12" x14ac:dyDescent="0.35">
      <c r="C40" s="51" t="s">
        <v>67</v>
      </c>
      <c r="E40" s="37"/>
      <c r="G40" s="9">
        <f>-G35*DA_Pct_Revenue</f>
        <v>-19.250000000000004</v>
      </c>
      <c r="H40" s="9">
        <f>-H35*DA_Pct_Revenue</f>
        <v>-20.790000000000003</v>
      </c>
      <c r="I40" s="9">
        <f>-I35*DA_Pct_Revenue</f>
        <v>-22.037400000000002</v>
      </c>
      <c r="J40" s="9">
        <f>-J35*DA_Pct_Revenue</f>
        <v>-23.13927</v>
      </c>
      <c r="K40" s="9">
        <f>-K35*DA_Pct_Revenue</f>
        <v>-24.2962335</v>
      </c>
    </row>
    <row r="41" spans="2:12" x14ac:dyDescent="0.35">
      <c r="C41" s="73" t="s">
        <v>45</v>
      </c>
      <c r="D41" s="74"/>
      <c r="E41" s="75"/>
      <c r="F41" s="74"/>
      <c r="G41" s="76">
        <f>-F65*Interest_Rate*(1-PIK_Pct)</f>
        <v>0</v>
      </c>
      <c r="H41" s="76">
        <f>-G65*Interest_Rate*(1-PIK_Pct)</f>
        <v>0</v>
      </c>
      <c r="I41" s="76">
        <f>-H65*Interest_Rate*(1-PIK_Pct)</f>
        <v>0</v>
      </c>
      <c r="J41" s="76">
        <f>-I65*Interest_Rate*(1-PIK_Pct)</f>
        <v>0</v>
      </c>
      <c r="K41" s="76">
        <f>-J65*Interest_Rate*(1-PIK_Pct)</f>
        <v>0</v>
      </c>
    </row>
    <row r="42" spans="2:12" x14ac:dyDescent="0.35">
      <c r="C42" s="73" t="s">
        <v>46</v>
      </c>
      <c r="D42" s="74"/>
      <c r="E42" s="75"/>
      <c r="F42" s="74"/>
      <c r="G42" s="76">
        <f>-F65*Interest_Rate*PIK_Pct</f>
        <v>-25</v>
      </c>
      <c r="H42" s="76">
        <f>-G65*Interest_Rate*PIK_Pct</f>
        <v>-22.490000000000002</v>
      </c>
      <c r="I42" s="76">
        <f>-H65*Interest_Rate*PIK_Pct</f>
        <v>-19.408600000000003</v>
      </c>
      <c r="J42" s="76">
        <f>-I65*Interest_Rate*PIK_Pct</f>
        <v>-15.766468000000003</v>
      </c>
      <c r="K42" s="76">
        <f>-J65*Interest_Rate*PIK_Pct</f>
        <v>-11.606075680000004</v>
      </c>
      <c r="L42" s="1" t="s">
        <v>72</v>
      </c>
    </row>
    <row r="44" spans="2:12" x14ac:dyDescent="0.35">
      <c r="C44" s="2" t="s">
        <v>11</v>
      </c>
      <c r="E44" s="37"/>
      <c r="G44" s="9">
        <f>G38+SUM(G40:G42)</f>
        <v>24.5</v>
      </c>
      <c r="H44" s="9">
        <f t="shared" ref="H44:K44" si="3">H38+SUM(H40:H42)</f>
        <v>30.97</v>
      </c>
      <c r="I44" s="9">
        <f t="shared" si="3"/>
        <v>37.258999999999993</v>
      </c>
      <c r="J44" s="9">
        <f t="shared" si="3"/>
        <v>43.734511999999995</v>
      </c>
      <c r="K44" s="9">
        <f t="shared" si="3"/>
        <v>50.869953319999993</v>
      </c>
    </row>
    <row r="45" spans="2:12" x14ac:dyDescent="0.35">
      <c r="C45" s="15" t="s">
        <v>20</v>
      </c>
      <c r="E45" s="46"/>
      <c r="G45" s="9">
        <f>-G44*Tax_Rate</f>
        <v>-6.125</v>
      </c>
      <c r="H45" s="9">
        <f>-H44*Tax_Rate</f>
        <v>-7.7424999999999997</v>
      </c>
      <c r="I45" s="9">
        <f>-I44*Tax_Rate</f>
        <v>-9.3147499999999983</v>
      </c>
      <c r="J45" s="9">
        <f>-J44*Tax_Rate</f>
        <v>-10.933627999999999</v>
      </c>
      <c r="K45" s="9">
        <f>-K44*Tax_Rate</f>
        <v>-12.717488329999998</v>
      </c>
    </row>
    <row r="46" spans="2:12" x14ac:dyDescent="0.35">
      <c r="C46" s="17" t="s">
        <v>0</v>
      </c>
      <c r="D46" s="18"/>
      <c r="E46" s="37"/>
      <c r="F46" s="18"/>
      <c r="G46" s="19">
        <f>SUM(G44:G45)</f>
        <v>18.375</v>
      </c>
      <c r="H46" s="19">
        <f t="shared" ref="H46:K46" si="4">SUM(H44:H45)</f>
        <v>23.227499999999999</v>
      </c>
      <c r="I46" s="19">
        <f t="shared" si="4"/>
        <v>27.944249999999997</v>
      </c>
      <c r="J46" s="19">
        <f t="shared" si="4"/>
        <v>32.800883999999996</v>
      </c>
      <c r="K46" s="19">
        <f t="shared" si="4"/>
        <v>38.152464989999999</v>
      </c>
    </row>
    <row r="48" spans="2:12" ht="19" customHeight="1" x14ac:dyDescent="0.35">
      <c r="B48" s="3" t="s">
        <v>59</v>
      </c>
      <c r="C48" s="4"/>
      <c r="D48" s="4"/>
      <c r="E48" s="39"/>
      <c r="F48" s="38" t="str">
        <f>"Year "&amp;$F$32</f>
        <v>Year 0</v>
      </c>
      <c r="G48" s="38" t="str">
        <f>"Year "&amp;$G$32</f>
        <v>Year 1</v>
      </c>
      <c r="H48" s="38" t="str">
        <f>"Year "&amp;$H$32</f>
        <v>Year 2</v>
      </c>
      <c r="I48" s="38" t="str">
        <f>"Year "&amp;$I$32</f>
        <v>Year 3</v>
      </c>
      <c r="J48" s="38" t="str">
        <f>"Year "&amp;$J$32</f>
        <v>Year 4</v>
      </c>
      <c r="K48" s="38" t="str">
        <f>"Year "&amp;$K$32</f>
        <v>Year 5</v>
      </c>
    </row>
    <row r="49" spans="2:19" x14ac:dyDescent="0.35">
      <c r="B49" s="63"/>
      <c r="C49" s="64"/>
      <c r="D49" s="64"/>
      <c r="E49" s="65"/>
      <c r="F49" s="66"/>
      <c r="G49" s="66"/>
      <c r="H49" s="66"/>
      <c r="I49" s="66"/>
      <c r="J49" s="66"/>
      <c r="K49" s="66"/>
    </row>
    <row r="50" spans="2:19" x14ac:dyDescent="0.35">
      <c r="C50" s="2" t="s">
        <v>0</v>
      </c>
      <c r="E50" s="37"/>
      <c r="G50" s="7">
        <f>G46</f>
        <v>18.375</v>
      </c>
      <c r="H50" s="7">
        <f t="shared" ref="H50:K50" si="5">H46</f>
        <v>23.227499999999999</v>
      </c>
      <c r="I50" s="7">
        <f t="shared" si="5"/>
        <v>27.944249999999997</v>
      </c>
      <c r="J50" s="7">
        <f t="shared" si="5"/>
        <v>32.800883999999996</v>
      </c>
      <c r="K50" s="7">
        <f t="shared" si="5"/>
        <v>38.152464989999999</v>
      </c>
    </row>
    <row r="52" spans="2:19" x14ac:dyDescent="0.35">
      <c r="C52" s="51" t="s">
        <v>47</v>
      </c>
      <c r="E52" s="37"/>
      <c r="G52" s="9">
        <f>-G42</f>
        <v>25</v>
      </c>
      <c r="H52" s="9">
        <f t="shared" ref="H52:K52" si="6">-H42</f>
        <v>22.490000000000002</v>
      </c>
      <c r="I52" s="9">
        <f t="shared" si="6"/>
        <v>19.408600000000003</v>
      </c>
      <c r="J52" s="9">
        <f t="shared" si="6"/>
        <v>15.766468000000003</v>
      </c>
      <c r="K52" s="9">
        <f t="shared" si="6"/>
        <v>11.606075680000004</v>
      </c>
      <c r="L52" s="1" t="s">
        <v>73</v>
      </c>
      <c r="M52" s="68"/>
      <c r="N52" s="68"/>
      <c r="O52" s="68"/>
      <c r="P52" s="68"/>
      <c r="Q52" s="68"/>
      <c r="R52" s="68"/>
      <c r="S52" s="68"/>
    </row>
    <row r="53" spans="2:19" x14ac:dyDescent="0.35">
      <c r="C53" s="51" t="s">
        <v>55</v>
      </c>
      <c r="E53" s="37"/>
      <c r="G53" s="9">
        <f>-G52*(1-PIK_Tax_Deduct)*Tax_Rate</f>
        <v>0</v>
      </c>
      <c r="H53" s="9">
        <f>-H52*(1-PIK_Tax_Deduct)*Tax_Rate</f>
        <v>0</v>
      </c>
      <c r="I53" s="9">
        <f>-I52*(1-PIK_Tax_Deduct)*Tax_Rate</f>
        <v>0</v>
      </c>
      <c r="J53" s="9">
        <f>-J52*(1-PIK_Tax_Deduct)*Tax_Rate</f>
        <v>0</v>
      </c>
      <c r="K53" s="9">
        <f>-K52*(1-PIK_Tax_Deduct)*Tax_Rate</f>
        <v>0</v>
      </c>
    </row>
    <row r="54" spans="2:19" x14ac:dyDescent="0.35">
      <c r="C54" s="51" t="s">
        <v>68</v>
      </c>
      <c r="E54" s="37"/>
      <c r="G54" s="9">
        <f>-G40</f>
        <v>19.250000000000004</v>
      </c>
      <c r="H54" s="9">
        <f>-H40</f>
        <v>20.790000000000003</v>
      </c>
      <c r="I54" s="9">
        <f>-I40</f>
        <v>22.037400000000002</v>
      </c>
      <c r="J54" s="9">
        <f>-J40</f>
        <v>23.13927</v>
      </c>
      <c r="K54" s="9">
        <f>-K40</f>
        <v>24.2962335</v>
      </c>
    </row>
    <row r="55" spans="2:19" x14ac:dyDescent="0.35">
      <c r="C55" s="51" t="s">
        <v>21</v>
      </c>
      <c r="E55" s="37"/>
      <c r="G55" s="9">
        <f>(G35-F35)*Change_WC_Pct</f>
        <v>-1.25</v>
      </c>
      <c r="H55" s="9">
        <f>(H35-G35)*Change_WC_Pct</f>
        <v>-1.1000000000000001</v>
      </c>
      <c r="I55" s="9">
        <f>(I35-H35)*Change_WC_Pct</f>
        <v>-0.89099999999999968</v>
      </c>
      <c r="J55" s="9">
        <f>(J35-I35)*Change_WC_Pct</f>
        <v>-0.78704999999999936</v>
      </c>
      <c r="K55" s="9">
        <f>(K35-J35)*Change_WC_Pct</f>
        <v>-0.82640250000000037</v>
      </c>
    </row>
    <row r="56" spans="2:19" x14ac:dyDescent="0.35">
      <c r="C56" s="2" t="s">
        <v>22</v>
      </c>
      <c r="E56" s="37"/>
      <c r="G56" s="9">
        <f>(F35-G35)*CapEx_Pct</f>
        <v>-3.75</v>
      </c>
      <c r="H56" s="9">
        <f>(G35-H35)*CapEx_Pct</f>
        <v>-3.3</v>
      </c>
      <c r="I56" s="9">
        <f>(H35-I35)*CapEx_Pct</f>
        <v>-2.6729999999999987</v>
      </c>
      <c r="J56" s="9">
        <f>(I35-J35)*CapEx_Pct</f>
        <v>-2.3611499999999976</v>
      </c>
      <c r="K56" s="9">
        <f>(J35-K35)*CapEx_Pct</f>
        <v>-2.4792075000000011</v>
      </c>
    </row>
    <row r="57" spans="2:19" x14ac:dyDescent="0.35">
      <c r="G57" s="14"/>
      <c r="H57" s="14"/>
      <c r="I57" s="14"/>
      <c r="J57" s="14"/>
      <c r="K57" s="14"/>
    </row>
    <row r="58" spans="2:19" x14ac:dyDescent="0.35">
      <c r="C58" s="50" t="s">
        <v>69</v>
      </c>
      <c r="E58" s="37"/>
      <c r="G58" s="9">
        <f>F66</f>
        <v>12.5</v>
      </c>
      <c r="H58" s="9">
        <f t="shared" ref="H58:K58" si="7">G66</f>
        <v>13.75</v>
      </c>
      <c r="I58" s="9">
        <f t="shared" si="7"/>
        <v>14.850000000000001</v>
      </c>
      <c r="J58" s="9">
        <f t="shared" si="7"/>
        <v>15.740999999999993</v>
      </c>
      <c r="K58" s="9">
        <f t="shared" si="7"/>
        <v>16.528050000000015</v>
      </c>
    </row>
    <row r="59" spans="2:19" x14ac:dyDescent="0.35">
      <c r="C59" s="15" t="s">
        <v>23</v>
      </c>
      <c r="G59" s="9">
        <f>G50+SUM(G52:G56)</f>
        <v>57.625</v>
      </c>
      <c r="H59" s="9">
        <f t="shared" ref="H59:K59" si="8">H50+SUM(H52:H56)</f>
        <v>62.107500000000002</v>
      </c>
      <c r="I59" s="9">
        <f t="shared" si="8"/>
        <v>65.826250000000002</v>
      </c>
      <c r="J59" s="9">
        <f t="shared" si="8"/>
        <v>68.558422000000007</v>
      </c>
      <c r="K59" s="9">
        <f t="shared" si="8"/>
        <v>70.74916417</v>
      </c>
    </row>
    <row r="60" spans="2:19" x14ac:dyDescent="0.35">
      <c r="C60" s="50" t="s">
        <v>70</v>
      </c>
      <c r="G60" s="9">
        <f>-G38*Min_Cash_Pct</f>
        <v>-13.75</v>
      </c>
      <c r="H60" s="9">
        <f>-H38*Min_Cash_Pct</f>
        <v>-14.850000000000001</v>
      </c>
      <c r="I60" s="9">
        <f>-I38*Min_Cash_Pct</f>
        <v>-15.741</v>
      </c>
      <c r="J60" s="9">
        <f>-J38*Min_Cash_Pct</f>
        <v>-16.52805</v>
      </c>
      <c r="K60" s="9">
        <f>-K38*Min_Cash_Pct</f>
        <v>-17.354452500000001</v>
      </c>
    </row>
    <row r="61" spans="2:19" x14ac:dyDescent="0.35">
      <c r="C61" s="17" t="s">
        <v>24</v>
      </c>
      <c r="D61" s="18"/>
      <c r="E61" s="18"/>
      <c r="F61" s="18"/>
      <c r="G61" s="22">
        <f>SUM(G58:G60)</f>
        <v>56.375</v>
      </c>
      <c r="H61" s="22">
        <f t="shared" ref="H61:K61" si="9">SUM(H58:H60)</f>
        <v>61.0075</v>
      </c>
      <c r="I61" s="22">
        <f t="shared" si="9"/>
        <v>64.935250000000011</v>
      </c>
      <c r="J61" s="22">
        <f t="shared" si="9"/>
        <v>67.771371999999985</v>
      </c>
      <c r="K61" s="22">
        <f t="shared" si="9"/>
        <v>69.92276167</v>
      </c>
      <c r="N61" s="62"/>
    </row>
    <row r="62" spans="2:19" x14ac:dyDescent="0.35">
      <c r="G62" s="14"/>
      <c r="H62" s="14"/>
      <c r="I62" s="14"/>
      <c r="J62" s="14"/>
      <c r="K62" s="14"/>
    </row>
    <row r="63" spans="2:19" x14ac:dyDescent="0.35">
      <c r="C63" s="2" t="s">
        <v>15</v>
      </c>
      <c r="G63" s="9">
        <f>MIN(F65,G61)*Debt_Princ_Repay</f>
        <v>56.375</v>
      </c>
      <c r="H63" s="9">
        <f>MIN(G65,H61)*Debt_Princ_Repay</f>
        <v>61.0075</v>
      </c>
      <c r="I63" s="9">
        <f>MIN(H65,I61)*Debt_Princ_Repay</f>
        <v>64.935250000000011</v>
      </c>
      <c r="J63" s="9">
        <f>MIN(I65,J61)*Debt_Princ_Repay</f>
        <v>67.771371999999985</v>
      </c>
      <c r="K63" s="9">
        <f>MIN(J65,K61)*Debt_Princ_Repay</f>
        <v>69.92276167</v>
      </c>
    </row>
    <row r="65" spans="2:18" x14ac:dyDescent="0.35">
      <c r="C65" s="2" t="s">
        <v>1</v>
      </c>
      <c r="F65" s="9">
        <f>F15</f>
        <v>312.5</v>
      </c>
      <c r="G65" s="9">
        <f>F65-G63+G52</f>
        <v>281.125</v>
      </c>
      <c r="H65" s="9">
        <f t="shared" ref="H65:K65" si="10">G65-H63+H52</f>
        <v>242.60750000000002</v>
      </c>
      <c r="I65" s="9">
        <f t="shared" si="10"/>
        <v>197.08085000000003</v>
      </c>
      <c r="J65" s="9">
        <f t="shared" si="10"/>
        <v>145.07594600000004</v>
      </c>
      <c r="K65" s="9">
        <f t="shared" si="10"/>
        <v>86.759260010000048</v>
      </c>
    </row>
    <row r="66" spans="2:18" x14ac:dyDescent="0.35">
      <c r="C66" s="2" t="s">
        <v>14</v>
      </c>
      <c r="F66" s="9">
        <f>K27</f>
        <v>12.5</v>
      </c>
      <c r="G66" s="9">
        <f>F66+(G59-G63)</f>
        <v>13.75</v>
      </c>
      <c r="H66" s="9">
        <f t="shared" ref="H66:K66" si="11">G66+(H59-H63)</f>
        <v>14.850000000000001</v>
      </c>
      <c r="I66" s="9">
        <f t="shared" si="11"/>
        <v>15.740999999999993</v>
      </c>
      <c r="J66" s="9">
        <f t="shared" si="11"/>
        <v>16.528050000000015</v>
      </c>
      <c r="K66" s="9">
        <f t="shared" si="11"/>
        <v>17.354452500000015</v>
      </c>
    </row>
    <row r="67" spans="2:18" x14ac:dyDescent="0.35">
      <c r="F67" s="9"/>
    </row>
    <row r="68" spans="2:18" x14ac:dyDescent="0.35">
      <c r="C68" s="10" t="s">
        <v>18</v>
      </c>
      <c r="D68" s="11"/>
      <c r="E68" s="11"/>
      <c r="F68" s="10"/>
      <c r="G68" s="10"/>
      <c r="H68" s="10"/>
      <c r="I68" s="10"/>
      <c r="J68" s="11"/>
      <c r="K68" s="11"/>
    </row>
    <row r="69" spans="2:18" x14ac:dyDescent="0.35">
      <c r="C69" s="15" t="s">
        <v>13</v>
      </c>
      <c r="F69" s="7"/>
      <c r="G69" s="57"/>
      <c r="K69" s="7">
        <f>K38*K7</f>
        <v>1041.2671499999999</v>
      </c>
    </row>
    <row r="70" spans="2:18" x14ac:dyDescent="0.35">
      <c r="C70" s="58" t="s">
        <v>26</v>
      </c>
      <c r="F70" s="9"/>
      <c r="G70" s="57"/>
      <c r="K70" s="9">
        <f>-K65</f>
        <v>-86.759260010000048</v>
      </c>
      <c r="M70" s="9"/>
    </row>
    <row r="71" spans="2:18" x14ac:dyDescent="0.35">
      <c r="C71" s="58" t="s">
        <v>27</v>
      </c>
      <c r="F71" s="9"/>
      <c r="G71" s="57"/>
      <c r="K71" s="9">
        <f>K66</f>
        <v>17.354452500000015</v>
      </c>
    </row>
    <row r="72" spans="2:18" x14ac:dyDescent="0.35">
      <c r="C72" s="59" t="s">
        <v>3</v>
      </c>
      <c r="D72" s="18"/>
      <c r="E72" s="19"/>
      <c r="F72" s="19"/>
      <c r="G72" s="19"/>
      <c r="H72" s="19"/>
      <c r="I72" s="19"/>
      <c r="J72" s="19"/>
      <c r="K72" s="19">
        <f>SUM(K69:K71)</f>
        <v>971.86234248999983</v>
      </c>
      <c r="M72" s="51" t="s">
        <v>74</v>
      </c>
    </row>
    <row r="74" spans="2:18" x14ac:dyDescent="0.35">
      <c r="C74" s="25" t="s">
        <v>16</v>
      </c>
      <c r="D74" s="26"/>
      <c r="E74" s="26"/>
      <c r="F74" s="79">
        <f>K72/F26</f>
        <v>2.0900265429892468</v>
      </c>
      <c r="G74" s="55"/>
      <c r="M74" s="26" t="s">
        <v>16</v>
      </c>
      <c r="N74" s="26"/>
      <c r="O74" s="45"/>
      <c r="P74" s="79">
        <v>2.0900265429892468</v>
      </c>
    </row>
    <row r="75" spans="2:18" x14ac:dyDescent="0.35">
      <c r="C75" s="27" t="s">
        <v>17</v>
      </c>
      <c r="D75" s="28"/>
      <c r="E75" s="28"/>
      <c r="F75" s="81">
        <f>(K72/F26)^(1/K32)-1</f>
        <v>0.15885836589785396</v>
      </c>
      <c r="G75" s="55"/>
      <c r="M75" s="28" t="s">
        <v>17</v>
      </c>
      <c r="N75" s="28"/>
      <c r="O75" s="52"/>
      <c r="P75" s="80">
        <v>0.15885836589785396</v>
      </c>
      <c r="R75" s="69"/>
    </row>
    <row r="77" spans="2:18" x14ac:dyDescent="0.35">
      <c r="B77" s="3" t="s">
        <v>48</v>
      </c>
      <c r="C77" s="4"/>
      <c r="D77" s="4"/>
      <c r="E77" s="39" t="str">
        <f>$E$5</f>
        <v>Units:</v>
      </c>
      <c r="F77" s="38" t="str">
        <f>"Year "&amp;$F$32</f>
        <v>Year 0</v>
      </c>
      <c r="G77" s="38" t="str">
        <f>"Year "&amp;$G$32</f>
        <v>Year 1</v>
      </c>
      <c r="H77" s="38" t="str">
        <f>"Year "&amp;$H$32</f>
        <v>Year 2</v>
      </c>
      <c r="I77" s="38" t="str">
        <f>"Year "&amp;$I$32</f>
        <v>Year 3</v>
      </c>
      <c r="J77" s="38" t="str">
        <f>"Year "&amp;$J$32</f>
        <v>Year 4</v>
      </c>
      <c r="K77" s="38" t="str">
        <f>"Year "&amp;$K$32</f>
        <v>Year 5</v>
      </c>
    </row>
    <row r="79" spans="2:18" x14ac:dyDescent="0.35">
      <c r="C79" s="50" t="s">
        <v>49</v>
      </c>
      <c r="F79" s="7">
        <f>-F25</f>
        <v>-312.5</v>
      </c>
      <c r="G79" s="53">
        <v>0</v>
      </c>
      <c r="H79" s="53">
        <v>0</v>
      </c>
      <c r="I79" s="53">
        <v>0</v>
      </c>
      <c r="J79" s="53">
        <v>0</v>
      </c>
      <c r="K79" s="53">
        <v>0</v>
      </c>
    </row>
    <row r="80" spans="2:18" x14ac:dyDescent="0.35">
      <c r="C80" s="50" t="s">
        <v>50</v>
      </c>
      <c r="F80" s="9"/>
      <c r="G80" s="9">
        <f>-G41</f>
        <v>0</v>
      </c>
      <c r="H80" s="9">
        <f>-H41</f>
        <v>0</v>
      </c>
      <c r="I80" s="9">
        <f>-I41</f>
        <v>0</v>
      </c>
      <c r="J80" s="9">
        <f>-J41</f>
        <v>0</v>
      </c>
      <c r="K80" s="9">
        <f>-K41</f>
        <v>0</v>
      </c>
    </row>
    <row r="81" spans="3:18" x14ac:dyDescent="0.35">
      <c r="C81" s="50" t="s">
        <v>64</v>
      </c>
      <c r="F81" s="9"/>
      <c r="G81" s="9">
        <f>G63</f>
        <v>56.375</v>
      </c>
      <c r="H81" s="9">
        <f t="shared" ref="H81:K81" si="12">H63</f>
        <v>61.0075</v>
      </c>
      <c r="I81" s="9">
        <f t="shared" si="12"/>
        <v>64.935250000000011</v>
      </c>
      <c r="J81" s="9">
        <f t="shared" si="12"/>
        <v>67.771371999999985</v>
      </c>
      <c r="K81" s="9">
        <f t="shared" si="12"/>
        <v>69.92276167</v>
      </c>
    </row>
    <row r="82" spans="3:18" x14ac:dyDescent="0.35">
      <c r="C82" s="50" t="s">
        <v>65</v>
      </c>
      <c r="F82" s="9"/>
      <c r="G82" s="54">
        <v>0</v>
      </c>
      <c r="H82" s="54">
        <v>0</v>
      </c>
      <c r="I82" s="54">
        <v>0</v>
      </c>
      <c r="J82" s="54">
        <v>0</v>
      </c>
      <c r="K82" s="9">
        <f>K65</f>
        <v>86.759260010000048</v>
      </c>
      <c r="M82" s="9"/>
    </row>
    <row r="83" spans="3:18" x14ac:dyDescent="0.35">
      <c r="C83" s="17" t="s">
        <v>51</v>
      </c>
      <c r="D83" s="18"/>
      <c r="E83" s="18"/>
      <c r="F83" s="19">
        <f>SUM(F79:F82)</f>
        <v>-312.5</v>
      </c>
      <c r="G83" s="19">
        <f t="shared" ref="G83:K83" si="13">SUM(G79:G82)</f>
        <v>56.375</v>
      </c>
      <c r="H83" s="19">
        <f t="shared" si="13"/>
        <v>61.0075</v>
      </c>
      <c r="I83" s="19">
        <f t="shared" si="13"/>
        <v>64.935250000000011</v>
      </c>
      <c r="J83" s="19">
        <f t="shared" si="13"/>
        <v>67.771371999999985</v>
      </c>
      <c r="K83" s="19">
        <f t="shared" si="13"/>
        <v>156.68202168000005</v>
      </c>
      <c r="M83" s="51" t="s">
        <v>75</v>
      </c>
    </row>
    <row r="85" spans="3:18" x14ac:dyDescent="0.35">
      <c r="C85" s="25" t="s">
        <v>16</v>
      </c>
      <c r="D85" s="26"/>
      <c r="E85" s="26"/>
      <c r="F85" s="67">
        <f>-SUMIF(F83:K83,"&gt;0",F83:K83)/SUMIF(F83:K83,"&lt;=0",F83:K83)</f>
        <v>1.301667659776</v>
      </c>
      <c r="G85" s="55"/>
      <c r="K85" s="7"/>
      <c r="M85" s="25" t="s">
        <v>16</v>
      </c>
      <c r="N85" s="26"/>
      <c r="O85" s="26"/>
      <c r="P85" s="67">
        <v>1.301667659776</v>
      </c>
    </row>
    <row r="86" spans="3:18" x14ac:dyDescent="0.35">
      <c r="C86" s="27" t="s">
        <v>17</v>
      </c>
      <c r="D86" s="28"/>
      <c r="E86" s="28"/>
      <c r="F86" s="81">
        <f>IRR(F83:K83)</f>
        <v>7.9999999999665672E-2</v>
      </c>
      <c r="G86" s="55"/>
      <c r="M86" s="27" t="s">
        <v>17</v>
      </c>
      <c r="N86" s="28"/>
      <c r="O86" s="28"/>
      <c r="P86" s="81">
        <v>7.9999999999665672E-2</v>
      </c>
      <c r="R86" s="69"/>
    </row>
    <row r="103" spans="10:13" x14ac:dyDescent="0.35">
      <c r="J103" s="51"/>
      <c r="K103" s="72"/>
    </row>
    <row r="104" spans="10:13" x14ac:dyDescent="0.35">
      <c r="J104" s="70"/>
    </row>
    <row r="105" spans="10:13" x14ac:dyDescent="0.35">
      <c r="J105" s="70"/>
    </row>
    <row r="106" spans="10:13" x14ac:dyDescent="0.35">
      <c r="J106" s="71"/>
    </row>
    <row r="110" spans="10:13" x14ac:dyDescent="0.35">
      <c r="K110" s="69"/>
      <c r="M110" s="72"/>
    </row>
  </sheetData>
  <dataValidations count="2">
    <dataValidation type="decimal" allowBlank="1" showInputMessage="1" showErrorMessage="1" sqref="F18" xr:uid="{7B6B8FC2-E45C-41F5-9F81-5902C1705F70}">
      <formula1>0</formula1>
      <formula2>1</formula2>
    </dataValidation>
    <dataValidation type="whole" allowBlank="1" showInputMessage="1" showErrorMessage="1" sqref="F19:F20" xr:uid="{A3B3D4F9-2F0B-48D5-8DAD-10284EE24366}">
      <formula1>0</formula1>
      <formula2>1</formula2>
    </dataValidation>
  </dataValidations>
  <pageMargins left="0.7" right="0.7" top="0.75" bottom="0.75" header="0.3" footer="0.3"/>
  <pageSetup scale="64" orientation="portrait" r:id="rId1"/>
  <rowBreaks count="2" manualBreakCount="2">
    <brk id="32" max="11" man="1"/>
    <brk id="47" max="11" man="1"/>
  </rowBreaks>
  <colBreaks count="1" manualBreakCount="1">
    <brk id="12" max="77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39A215-69BB-47E3-8349-34AFD952A9A2}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11</vt:i4>
      </vt:variant>
    </vt:vector>
  </HeadingPairs>
  <TitlesOfParts>
    <vt:vector size="13" baseType="lpstr">
      <vt:lpstr>LBO_PIK</vt:lpstr>
      <vt:lpstr>Sheet1</vt:lpstr>
      <vt:lpstr>CapEx_Pct</vt:lpstr>
      <vt:lpstr>Change_WC_Pct</vt:lpstr>
      <vt:lpstr>DA_Pct_Revenue</vt:lpstr>
      <vt:lpstr>Debt_Princ_Repay</vt:lpstr>
      <vt:lpstr>EBITDA_Margin</vt:lpstr>
      <vt:lpstr>Interest_Rate</vt:lpstr>
      <vt:lpstr>Min_Cash_Pct</vt:lpstr>
      <vt:lpstr>PIK_Pct</vt:lpstr>
      <vt:lpstr>PIK_Tax_Deduct</vt:lpstr>
      <vt:lpstr>LBO_PIK!Print_Area</vt:lpstr>
      <vt:lpstr>Tax_Rate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BIWS</dc:creator>
  <cp:lastModifiedBy>Karan</cp:lastModifiedBy>
  <dcterms:created xsi:type="dcterms:W3CDTF">2014-04-29T19:37:43Z</dcterms:created>
  <dcterms:modified xsi:type="dcterms:W3CDTF">2024-05-27T08:05:34Z</dcterms:modified>
</cp:coreProperties>
</file>