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Day 3_Class Files\"/>
    </mc:Choice>
  </mc:AlternateContent>
  <xr:revisionPtr revIDLastSave="0" documentId="8_{15D086D3-71B4-40DE-ABF5-77621F5CB1E2}" xr6:coauthVersionLast="47" xr6:coauthVersionMax="47" xr10:uidLastSave="{00000000-0000-0000-0000-000000000000}"/>
  <bookViews>
    <workbookView xWindow="-110" yWindow="-110" windowWidth="19420" windowHeight="10300" xr2:uid="{20E000A5-AB30-47C9-A38E-6620691BBA5D}"/>
  </bookViews>
  <sheets>
    <sheet name="LBO" sheetId="8" r:id="rId1"/>
    <sheet name="LBO Checks" sheetId="10" r:id="rId2"/>
  </sheets>
  <definedNames>
    <definedName name="days" localSheetId="0">LBO!$F$13</definedName>
    <definedName name="days">#REF!</definedName>
    <definedName name="vdate" localSheetId="0">LBO!#REF!</definedName>
    <definedName name="vdate">#REF!</definedName>
    <definedName name="wacc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9" i="8" l="1"/>
  <c r="R119" i="8"/>
  <c r="Q119" i="8"/>
  <c r="P119" i="8"/>
  <c r="O119" i="8"/>
  <c r="N119" i="8"/>
  <c r="M119" i="8"/>
  <c r="L119" i="8"/>
  <c r="S118" i="8"/>
  <c r="R118" i="8"/>
  <c r="Q118" i="8"/>
  <c r="P118" i="8"/>
  <c r="O118" i="8"/>
  <c r="N118" i="8"/>
  <c r="M118" i="8"/>
  <c r="L118" i="8"/>
  <c r="S117" i="8"/>
  <c r="R117" i="8"/>
  <c r="Q117" i="8"/>
  <c r="P117" i="8"/>
  <c r="O117" i="8"/>
  <c r="N117" i="8"/>
  <c r="M117" i="8"/>
  <c r="L117" i="8"/>
  <c r="S116" i="8"/>
  <c r="R116" i="8"/>
  <c r="Q116" i="8"/>
  <c r="P116" i="8"/>
  <c r="O116" i="8"/>
  <c r="N116" i="8"/>
  <c r="M116" i="8"/>
  <c r="L116" i="8"/>
  <c r="S115" i="8"/>
  <c r="R115" i="8"/>
  <c r="Q115" i="8"/>
  <c r="P115" i="8"/>
  <c r="O115" i="8"/>
  <c r="N115" i="8"/>
  <c r="M115" i="8"/>
  <c r="L115" i="8"/>
  <c r="S114" i="8"/>
  <c r="R114" i="8"/>
  <c r="Q114" i="8"/>
  <c r="P114" i="8"/>
  <c r="O114" i="8"/>
  <c r="N114" i="8"/>
  <c r="M114" i="8"/>
  <c r="L114" i="8"/>
  <c r="S113" i="8"/>
  <c r="R113" i="8"/>
  <c r="Q113" i="8"/>
  <c r="P113" i="8"/>
  <c r="O113" i="8"/>
  <c r="N113" i="8"/>
  <c r="M113" i="8"/>
  <c r="L113" i="8"/>
  <c r="M108" i="8"/>
  <c r="N108" i="8"/>
  <c r="O108" i="8"/>
  <c r="P108" i="8"/>
  <c r="Q108" i="8"/>
  <c r="R108" i="8"/>
  <c r="S108" i="8"/>
  <c r="M109" i="8"/>
  <c r="N109" i="8"/>
  <c r="O109" i="8"/>
  <c r="P109" i="8"/>
  <c r="Q109" i="8"/>
  <c r="R109" i="8"/>
  <c r="S109" i="8"/>
  <c r="M110" i="8"/>
  <c r="N110" i="8"/>
  <c r="O110" i="8"/>
  <c r="P110" i="8"/>
  <c r="Q110" i="8"/>
  <c r="R110" i="8"/>
  <c r="S110" i="8"/>
  <c r="M111" i="8"/>
  <c r="N111" i="8"/>
  <c r="O111" i="8"/>
  <c r="P111" i="8"/>
  <c r="Q111" i="8"/>
  <c r="R111" i="8"/>
  <c r="S111" i="8"/>
  <c r="L111" i="8"/>
  <c r="L110" i="8"/>
  <c r="L109" i="8"/>
  <c r="L108" i="8"/>
  <c r="S89" i="8"/>
  <c r="R89" i="8"/>
  <c r="Q89" i="8"/>
  <c r="P89" i="8"/>
  <c r="O89" i="8"/>
  <c r="N89" i="8"/>
  <c r="M89" i="8"/>
  <c r="L89" i="8"/>
  <c r="S79" i="8"/>
  <c r="R79" i="8"/>
  <c r="Q79" i="8"/>
  <c r="P79" i="8"/>
  <c r="O79" i="8"/>
  <c r="N79" i="8"/>
  <c r="M79" i="8"/>
  <c r="L79" i="8"/>
  <c r="S69" i="8"/>
  <c r="R69" i="8"/>
  <c r="Q69" i="8"/>
  <c r="P69" i="8"/>
  <c r="O69" i="8"/>
  <c r="N69" i="8"/>
  <c r="M69" i="8"/>
  <c r="L69" i="8"/>
  <c r="S58" i="8"/>
  <c r="R58" i="8"/>
  <c r="Q58" i="8"/>
  <c r="P58" i="8"/>
  <c r="O58" i="8"/>
  <c r="N58" i="8"/>
  <c r="M58" i="8"/>
  <c r="L58" i="8"/>
  <c r="K107" i="8"/>
  <c r="K106" i="8"/>
  <c r="K105" i="8"/>
  <c r="S107" i="8"/>
  <c r="R107" i="8"/>
  <c r="Q107" i="8"/>
  <c r="P107" i="8"/>
  <c r="O107" i="8"/>
  <c r="N107" i="8"/>
  <c r="M107" i="8"/>
  <c r="L107" i="8"/>
  <c r="S106" i="8"/>
  <c r="R106" i="8"/>
  <c r="Q106" i="8"/>
  <c r="P106" i="8"/>
  <c r="O106" i="8"/>
  <c r="N106" i="8"/>
  <c r="M106" i="8"/>
  <c r="L106" i="8"/>
  <c r="S105" i="8"/>
  <c r="R105" i="8"/>
  <c r="Q105" i="8"/>
  <c r="P105" i="8"/>
  <c r="O105" i="8"/>
  <c r="N105" i="8"/>
  <c r="M105" i="8"/>
  <c r="L105" i="8"/>
  <c r="K96" i="8" l="1"/>
  <c r="S95" i="8"/>
  <c r="R95" i="8"/>
  <c r="Q95" i="8"/>
  <c r="P95" i="8"/>
  <c r="O95" i="8"/>
  <c r="N95" i="8"/>
  <c r="M95" i="8"/>
  <c r="L95" i="8"/>
  <c r="S94" i="8"/>
  <c r="R94" i="8"/>
  <c r="Q94" i="8"/>
  <c r="P94" i="8"/>
  <c r="O94" i="8"/>
  <c r="N94" i="8"/>
  <c r="M94" i="8"/>
  <c r="L94" i="8"/>
  <c r="S93" i="8"/>
  <c r="R93" i="8"/>
  <c r="Q93" i="8"/>
  <c r="P93" i="8"/>
  <c r="O93" i="8"/>
  <c r="N93" i="8"/>
  <c r="M93" i="8"/>
  <c r="L93" i="8"/>
  <c r="L96" i="8" s="1"/>
  <c r="S92" i="8"/>
  <c r="R92" i="8"/>
  <c r="Q92" i="8"/>
  <c r="P92" i="8"/>
  <c r="O92" i="8"/>
  <c r="N92" i="8"/>
  <c r="M92" i="8"/>
  <c r="S96" i="8"/>
  <c r="R96" i="8"/>
  <c r="Q96" i="8"/>
  <c r="P96" i="8"/>
  <c r="O96" i="8"/>
  <c r="N96" i="8"/>
  <c r="M96" i="8"/>
  <c r="L92" i="8"/>
  <c r="K87" i="8"/>
  <c r="R86" i="8"/>
  <c r="Q86" i="8"/>
  <c r="P86" i="8"/>
  <c r="O86" i="8"/>
  <c r="N86" i="8"/>
  <c r="M86" i="8"/>
  <c r="L86" i="8"/>
  <c r="L83" i="8"/>
  <c r="S76" i="8"/>
  <c r="Q76" i="8"/>
  <c r="P76" i="8"/>
  <c r="O76" i="8"/>
  <c r="N76" i="8"/>
  <c r="M76" i="8"/>
  <c r="L76" i="8"/>
  <c r="L73" i="8"/>
  <c r="K77" i="8"/>
  <c r="S66" i="8"/>
  <c r="R66" i="8"/>
  <c r="P66" i="8"/>
  <c r="O66" i="8"/>
  <c r="N66" i="8"/>
  <c r="M66" i="8"/>
  <c r="L66" i="8"/>
  <c r="L63" i="8"/>
  <c r="S55" i="8"/>
  <c r="R55" i="8"/>
  <c r="Q55" i="8"/>
  <c r="O55" i="8"/>
  <c r="N55" i="8"/>
  <c r="M55" i="8"/>
  <c r="L55" i="8"/>
  <c r="K67" i="8"/>
  <c r="L54" i="8"/>
  <c r="K56" i="8"/>
  <c r="L52" i="8" s="1"/>
  <c r="F36" i="8"/>
  <c r="F41" i="8"/>
  <c r="L85" i="8" l="1"/>
  <c r="L84" i="8"/>
  <c r="L75" i="8"/>
  <c r="L74" i="8"/>
  <c r="L77" i="8" s="1"/>
  <c r="M73" i="8" s="1"/>
  <c r="L64" i="8"/>
  <c r="L65" i="8"/>
  <c r="L67" i="8" s="1"/>
  <c r="M63" i="8" s="1"/>
  <c r="F85" i="8"/>
  <c r="F86" i="8" s="1"/>
  <c r="F84" i="8"/>
  <c r="F81" i="8"/>
  <c r="F75" i="8"/>
  <c r="F76" i="8" s="1"/>
  <c r="F74" i="8"/>
  <c r="F71" i="8"/>
  <c r="F65" i="8"/>
  <c r="F66" i="8" s="1"/>
  <c r="F64" i="8"/>
  <c r="F61" i="8"/>
  <c r="F54" i="8"/>
  <c r="F55" i="8" s="1"/>
  <c r="F53" i="8"/>
  <c r="L53" i="8" s="1"/>
  <c r="F50" i="8"/>
  <c r="Q35" i="8"/>
  <c r="M35" i="8"/>
  <c r="O35" i="8" s="1"/>
  <c r="Q34" i="8"/>
  <c r="M34" i="8"/>
  <c r="O34" i="8" s="1"/>
  <c r="Q33" i="8"/>
  <c r="M33" i="8"/>
  <c r="O33" i="8" s="1"/>
  <c r="Q32" i="8"/>
  <c r="M32" i="8"/>
  <c r="O32" i="8" s="1"/>
  <c r="L87" i="8" l="1"/>
  <c r="M83" i="8" s="1"/>
  <c r="M84" i="8"/>
  <c r="M85" i="8"/>
  <c r="M74" i="8"/>
  <c r="M77" i="8" s="1"/>
  <c r="N73" i="8" s="1"/>
  <c r="M75" i="8"/>
  <c r="M67" i="8"/>
  <c r="N63" i="8" s="1"/>
  <c r="M64" i="8"/>
  <c r="M65" i="8"/>
  <c r="L56" i="8"/>
  <c r="M52" i="8" s="1"/>
  <c r="M54" i="8" s="1"/>
  <c r="F58" i="8"/>
  <c r="F79" i="8"/>
  <c r="F69" i="8"/>
  <c r="F89" i="8"/>
  <c r="M87" i="8" l="1"/>
  <c r="N83" i="8" s="1"/>
  <c r="N84" i="8"/>
  <c r="N85" i="8"/>
  <c r="N74" i="8"/>
  <c r="N75" i="8"/>
  <c r="N77" i="8" s="1"/>
  <c r="O73" i="8" s="1"/>
  <c r="N64" i="8"/>
  <c r="N67" i="8" s="1"/>
  <c r="O63" i="8" s="1"/>
  <c r="N65" i="8"/>
  <c r="M53" i="8"/>
  <c r="M56" i="8" s="1"/>
  <c r="N52" i="8" s="1"/>
  <c r="N54" i="8" s="1"/>
  <c r="S187" i="8"/>
  <c r="R187" i="8"/>
  <c r="Q187" i="8"/>
  <c r="P187" i="8"/>
  <c r="O187" i="8"/>
  <c r="N187" i="8"/>
  <c r="M187" i="8"/>
  <c r="L187" i="8"/>
  <c r="K187" i="8"/>
  <c r="S186" i="8"/>
  <c r="R186" i="8"/>
  <c r="Q186" i="8"/>
  <c r="P186" i="8"/>
  <c r="O186" i="8"/>
  <c r="N186" i="8"/>
  <c r="M186" i="8"/>
  <c r="L186" i="8"/>
  <c r="K186" i="8"/>
  <c r="S185" i="8"/>
  <c r="R185" i="8"/>
  <c r="Q185" i="8"/>
  <c r="P185" i="8"/>
  <c r="O185" i="8"/>
  <c r="N185" i="8"/>
  <c r="M185" i="8"/>
  <c r="L185" i="8"/>
  <c r="K185" i="8"/>
  <c r="S184" i="8"/>
  <c r="R184" i="8"/>
  <c r="Q184" i="8"/>
  <c r="P184" i="8"/>
  <c r="O184" i="8"/>
  <c r="N184" i="8"/>
  <c r="M184" i="8"/>
  <c r="L184" i="8"/>
  <c r="K184" i="8"/>
  <c r="S183" i="8"/>
  <c r="R183" i="8"/>
  <c r="Q183" i="8"/>
  <c r="P183" i="8"/>
  <c r="O183" i="8"/>
  <c r="N183" i="8"/>
  <c r="M183" i="8"/>
  <c r="L183" i="8"/>
  <c r="K183" i="8"/>
  <c r="S182" i="8"/>
  <c r="R182" i="8"/>
  <c r="Q182" i="8"/>
  <c r="P182" i="8"/>
  <c r="O182" i="8"/>
  <c r="N182" i="8"/>
  <c r="M182" i="8"/>
  <c r="L182" i="8"/>
  <c r="K182" i="8"/>
  <c r="S181" i="8"/>
  <c r="R181" i="8"/>
  <c r="Q181" i="8"/>
  <c r="P181" i="8"/>
  <c r="O181" i="8"/>
  <c r="N181" i="8"/>
  <c r="M181" i="8"/>
  <c r="L181" i="8"/>
  <c r="K181" i="8"/>
  <c r="S180" i="8"/>
  <c r="R180" i="8"/>
  <c r="Q180" i="8"/>
  <c r="P180" i="8"/>
  <c r="O180" i="8"/>
  <c r="N180" i="8"/>
  <c r="M180" i="8"/>
  <c r="L180" i="8"/>
  <c r="K180" i="8"/>
  <c r="S179" i="8"/>
  <c r="R179" i="8"/>
  <c r="Q179" i="8"/>
  <c r="P179" i="8"/>
  <c r="O179" i="8"/>
  <c r="N179" i="8"/>
  <c r="M179" i="8"/>
  <c r="L179" i="8"/>
  <c r="K179" i="8"/>
  <c r="S178" i="8"/>
  <c r="R178" i="8"/>
  <c r="Q178" i="8"/>
  <c r="P178" i="8"/>
  <c r="O178" i="8"/>
  <c r="N178" i="8"/>
  <c r="M178" i="8"/>
  <c r="L178" i="8"/>
  <c r="K178" i="8"/>
  <c r="F15" i="10"/>
  <c r="D15" i="10"/>
  <c r="K14" i="10"/>
  <c r="J14" i="10"/>
  <c r="I14" i="10"/>
  <c r="H14" i="10"/>
  <c r="D14" i="10"/>
  <c r="S218" i="8"/>
  <c r="R218" i="8"/>
  <c r="Q218" i="8"/>
  <c r="P218" i="8"/>
  <c r="O218" i="8"/>
  <c r="N218" i="8"/>
  <c r="M218" i="8"/>
  <c r="L218" i="8"/>
  <c r="K218" i="8"/>
  <c r="S216" i="8"/>
  <c r="R216" i="8"/>
  <c r="Q216" i="8"/>
  <c r="P216" i="8"/>
  <c r="O216" i="8"/>
  <c r="N216" i="8"/>
  <c r="M216" i="8"/>
  <c r="L216" i="8"/>
  <c r="K216" i="8"/>
  <c r="S215" i="8"/>
  <c r="R215" i="8"/>
  <c r="Q215" i="8"/>
  <c r="P215" i="8"/>
  <c r="O215" i="8"/>
  <c r="N215" i="8"/>
  <c r="M215" i="8"/>
  <c r="L215" i="8"/>
  <c r="K215" i="8"/>
  <c r="S206" i="8"/>
  <c r="R206" i="8"/>
  <c r="Q206" i="8"/>
  <c r="P206" i="8"/>
  <c r="O206" i="8"/>
  <c r="N206" i="8"/>
  <c r="M206" i="8"/>
  <c r="L206" i="8"/>
  <c r="K206" i="8"/>
  <c r="S204" i="8"/>
  <c r="R204" i="8"/>
  <c r="Q204" i="8"/>
  <c r="P204" i="8"/>
  <c r="O204" i="8"/>
  <c r="N204" i="8"/>
  <c r="M204" i="8"/>
  <c r="L204" i="8"/>
  <c r="K204" i="8"/>
  <c r="S203" i="8"/>
  <c r="R203" i="8"/>
  <c r="Q203" i="8"/>
  <c r="P203" i="8"/>
  <c r="O203" i="8"/>
  <c r="N203" i="8"/>
  <c r="M203" i="8"/>
  <c r="L203" i="8"/>
  <c r="K203" i="8"/>
  <c r="D187" i="8"/>
  <c r="D186" i="8"/>
  <c r="D185" i="8"/>
  <c r="J175" i="8"/>
  <c r="J180" i="8" s="1"/>
  <c r="I175" i="8"/>
  <c r="I180" i="8" s="1"/>
  <c r="J170" i="8"/>
  <c r="I170" i="8"/>
  <c r="H170" i="8"/>
  <c r="J169" i="8"/>
  <c r="I169" i="8"/>
  <c r="H169" i="8"/>
  <c r="J161" i="8"/>
  <c r="I161" i="8"/>
  <c r="H161" i="8"/>
  <c r="J160" i="8"/>
  <c r="I160" i="8"/>
  <c r="H160" i="8"/>
  <c r="J159" i="8"/>
  <c r="I159" i="8"/>
  <c r="H159" i="8"/>
  <c r="J157" i="8"/>
  <c r="I157" i="8"/>
  <c r="H157" i="8"/>
  <c r="J156" i="8"/>
  <c r="I156" i="8"/>
  <c r="H156" i="8"/>
  <c r="J153" i="8"/>
  <c r="I153" i="8"/>
  <c r="J152" i="8"/>
  <c r="I152" i="8"/>
  <c r="H152" i="8"/>
  <c r="J149" i="8"/>
  <c r="I149" i="8"/>
  <c r="H149" i="8"/>
  <c r="U9" i="8"/>
  <c r="U7" i="8"/>
  <c r="V7" i="8" s="1"/>
  <c r="H2" i="8"/>
  <c r="H2" i="10" s="1"/>
  <c r="A1" i="8"/>
  <c r="N87" i="8" l="1"/>
  <c r="O83" i="8" s="1"/>
  <c r="O84" i="8"/>
  <c r="O85" i="8"/>
  <c r="O77" i="8"/>
  <c r="P73" i="8" s="1"/>
  <c r="O74" i="8"/>
  <c r="O75" i="8"/>
  <c r="O67" i="8"/>
  <c r="P63" i="8" s="1"/>
  <c r="O64" i="8"/>
  <c r="O65" i="8"/>
  <c r="N53" i="8"/>
  <c r="J164" i="8"/>
  <c r="H1" i="8"/>
  <c r="H1" i="10" s="1"/>
  <c r="J165" i="8"/>
  <c r="J184" i="8"/>
  <c r="J171" i="8"/>
  <c r="J154" i="8" s="1"/>
  <c r="J151" i="8" s="1"/>
  <c r="I2" i="8"/>
  <c r="I2" i="10" s="1"/>
  <c r="J182" i="8"/>
  <c r="I184" i="8"/>
  <c r="J163" i="8"/>
  <c r="I164" i="8"/>
  <c r="I171" i="8"/>
  <c r="I154" i="8" s="1"/>
  <c r="I151" i="8" s="1"/>
  <c r="I179" i="8" s="1"/>
  <c r="K149" i="8"/>
  <c r="K157" i="8" s="1"/>
  <c r="K153" i="8" s="1"/>
  <c r="H181" i="8"/>
  <c r="J183" i="8"/>
  <c r="H182" i="8"/>
  <c r="J186" i="8"/>
  <c r="H171" i="8"/>
  <c r="H154" i="8" s="1"/>
  <c r="H151" i="8" s="1"/>
  <c r="H150" i="8" s="1"/>
  <c r="I165" i="8"/>
  <c r="I178" i="8"/>
  <c r="I163" i="8"/>
  <c r="I181" i="8"/>
  <c r="H184" i="8"/>
  <c r="J181" i="8"/>
  <c r="I186" i="8"/>
  <c r="I182" i="8"/>
  <c r="H183" i="8"/>
  <c r="I183" i="8"/>
  <c r="O87" i="8" l="1"/>
  <c r="P83" i="8" s="1"/>
  <c r="P84" i="8" s="1"/>
  <c r="P87" i="8" s="1"/>
  <c r="Q83" i="8" s="1"/>
  <c r="P85" i="8"/>
  <c r="P74" i="8"/>
  <c r="P75" i="8"/>
  <c r="P77" i="8" s="1"/>
  <c r="Q73" i="8" s="1"/>
  <c r="P64" i="8"/>
  <c r="P67" i="8" s="1"/>
  <c r="Q63" i="8" s="1"/>
  <c r="P65" i="8"/>
  <c r="J166" i="8"/>
  <c r="N56" i="8"/>
  <c r="O52" i="8" s="1"/>
  <c r="I166" i="8"/>
  <c r="I150" i="8"/>
  <c r="I187" i="8" s="1"/>
  <c r="I1" i="8"/>
  <c r="I1" i="10" s="1"/>
  <c r="J2" i="8"/>
  <c r="J2" i="10" s="1"/>
  <c r="L149" i="8"/>
  <c r="L160" i="8" s="1"/>
  <c r="K156" i="8"/>
  <c r="K152" i="8" s="1"/>
  <c r="K151" i="8"/>
  <c r="K160" i="8"/>
  <c r="K164" i="8" s="1"/>
  <c r="H179" i="8"/>
  <c r="J179" i="8"/>
  <c r="J150" i="8"/>
  <c r="I185" i="8"/>
  <c r="Q84" i="8" l="1"/>
  <c r="Q85" i="8"/>
  <c r="Q74" i="8"/>
  <c r="Q77" i="8" s="1"/>
  <c r="R73" i="8" s="1"/>
  <c r="Q75" i="8"/>
  <c r="Q64" i="8"/>
  <c r="Q65" i="8"/>
  <c r="O53" i="8"/>
  <c r="O54" i="8"/>
  <c r="K2" i="8"/>
  <c r="K150" i="8"/>
  <c r="K161" i="8" s="1"/>
  <c r="K165" i="8" s="1"/>
  <c r="F42" i="8"/>
  <c r="J1" i="8"/>
  <c r="J1" i="10" s="1"/>
  <c r="L156" i="8"/>
  <c r="L152" i="8" s="1"/>
  <c r="L151" i="8"/>
  <c r="L150" i="8" s="1"/>
  <c r="M149" i="8"/>
  <c r="M157" i="8" s="1"/>
  <c r="M153" i="8" s="1"/>
  <c r="L157" i="8"/>
  <c r="L153" i="8" s="1"/>
  <c r="K154" i="8"/>
  <c r="L164" i="8"/>
  <c r="K2" i="10"/>
  <c r="K1" i="8"/>
  <c r="K1" i="10" s="1"/>
  <c r="L2" i="8"/>
  <c r="J187" i="8"/>
  <c r="J185" i="8"/>
  <c r="N149" i="8"/>
  <c r="Q87" i="8" l="1"/>
  <c r="R83" i="8" s="1"/>
  <c r="R84" i="8" s="1"/>
  <c r="R87" i="8" s="1"/>
  <c r="S83" i="8" s="1"/>
  <c r="R85" i="8"/>
  <c r="R74" i="8"/>
  <c r="R76" i="8" s="1"/>
  <c r="R75" i="8"/>
  <c r="Q66" i="8"/>
  <c r="Q67" i="8" s="1"/>
  <c r="R63" i="8" s="1"/>
  <c r="O56" i="8"/>
  <c r="P52" i="8" s="1"/>
  <c r="P53" i="8" s="1"/>
  <c r="K159" i="8"/>
  <c r="K163" i="8" s="1"/>
  <c r="K166" i="8" s="1"/>
  <c r="F45" i="8"/>
  <c r="F43" i="8"/>
  <c r="I35" i="8"/>
  <c r="F7" i="10" s="1"/>
  <c r="I33" i="8"/>
  <c r="F6" i="10" s="1"/>
  <c r="I34" i="8"/>
  <c r="I32" i="8"/>
  <c r="M156" i="8"/>
  <c r="M160" i="8"/>
  <c r="M164" i="8" s="1"/>
  <c r="M151" i="8"/>
  <c r="M150" i="8" s="1"/>
  <c r="L154" i="8"/>
  <c r="N156" i="8"/>
  <c r="N160" i="8"/>
  <c r="N157" i="8"/>
  <c r="N153" i="8" s="1"/>
  <c r="O149" i="8"/>
  <c r="N151" i="8"/>
  <c r="L159" i="8"/>
  <c r="L161" i="8"/>
  <c r="L165" i="8" s="1"/>
  <c r="M152" i="8"/>
  <c r="M154" i="8" s="1"/>
  <c r="L2" i="10"/>
  <c r="M2" i="8"/>
  <c r="L1" i="8"/>
  <c r="L1" i="10" s="1"/>
  <c r="S86" i="8" l="1"/>
  <c r="S84" i="8"/>
  <c r="S85" i="8"/>
  <c r="S87" i="8" s="1"/>
  <c r="R77" i="8"/>
  <c r="S73" i="8" s="1"/>
  <c r="R64" i="8"/>
  <c r="R67" i="8" s="1"/>
  <c r="S63" i="8" s="1"/>
  <c r="R65" i="8"/>
  <c r="P54" i="8"/>
  <c r="P55" i="8"/>
  <c r="P56" i="8"/>
  <c r="Q52" i="8" s="1"/>
  <c r="Q53" i="8"/>
  <c r="Q54" i="8"/>
  <c r="Q56" i="8" s="1"/>
  <c r="R52" i="8" s="1"/>
  <c r="R54" i="8" s="1"/>
  <c r="L163" i="8"/>
  <c r="F44" i="8"/>
  <c r="F46" i="8" s="1"/>
  <c r="F37" i="8" s="1"/>
  <c r="N164" i="8"/>
  <c r="M2" i="10"/>
  <c r="N2" i="8"/>
  <c r="M1" i="8"/>
  <c r="M1" i="10" s="1"/>
  <c r="N152" i="8"/>
  <c r="N154" i="8" s="1"/>
  <c r="L166" i="8"/>
  <c r="N150" i="8"/>
  <c r="O156" i="8"/>
  <c r="O157" i="8"/>
  <c r="O153" i="8" s="1"/>
  <c r="P149" i="8"/>
  <c r="O151" i="8"/>
  <c r="O160" i="8"/>
  <c r="M159" i="8"/>
  <c r="M161" i="8"/>
  <c r="M165" i="8" s="1"/>
  <c r="S77" i="8" l="1"/>
  <c r="S74" i="8"/>
  <c r="S75" i="8"/>
  <c r="S64" i="8"/>
  <c r="S65" i="8"/>
  <c r="S67" i="8" s="1"/>
  <c r="F38" i="8"/>
  <c r="H36" i="8" s="1"/>
  <c r="R53" i="8"/>
  <c r="N2" i="10"/>
  <c r="N1" i="8"/>
  <c r="N1" i="10" s="1"/>
  <c r="O2" i="8"/>
  <c r="N161" i="8"/>
  <c r="N165" i="8" s="1"/>
  <c r="N159" i="8"/>
  <c r="M163" i="8"/>
  <c r="M166" i="8" s="1"/>
  <c r="O152" i="8"/>
  <c r="O154" i="8" s="1"/>
  <c r="O164" i="8"/>
  <c r="O150" i="8"/>
  <c r="P156" i="8"/>
  <c r="P157" i="8"/>
  <c r="P153" i="8" s="1"/>
  <c r="Q149" i="8"/>
  <c r="P151" i="8"/>
  <c r="P160" i="8"/>
  <c r="R56" i="8" l="1"/>
  <c r="S52" i="8" s="1"/>
  <c r="S54" i="8" s="1"/>
  <c r="H37" i="8"/>
  <c r="F5" i="10" s="1"/>
  <c r="P150" i="8"/>
  <c r="O2" i="10"/>
  <c r="O1" i="8"/>
  <c r="O1" i="10" s="1"/>
  <c r="P2" i="8"/>
  <c r="Q157" i="8"/>
  <c r="Q153" i="8" s="1"/>
  <c r="R149" i="8"/>
  <c r="Q151" i="8"/>
  <c r="Q160" i="8"/>
  <c r="Q164" i="8" s="1"/>
  <c r="Q156" i="8"/>
  <c r="O159" i="8"/>
  <c r="O161" i="8"/>
  <c r="O165" i="8" s="1"/>
  <c r="P164" i="8"/>
  <c r="P152" i="8"/>
  <c r="P154" i="8" s="1"/>
  <c r="N163" i="8"/>
  <c r="N166" i="8" s="1"/>
  <c r="S53" i="8" l="1"/>
  <c r="P159" i="8"/>
  <c r="P163" i="8" s="1"/>
  <c r="P161" i="8"/>
  <c r="P165" i="8" s="1"/>
  <c r="P2" i="10"/>
  <c r="P1" i="8"/>
  <c r="P1" i="10" s="1"/>
  <c r="Q2" i="8"/>
  <c r="O163" i="8"/>
  <c r="O166" i="8" s="1"/>
  <c r="Q152" i="8"/>
  <c r="Q154" i="8" s="1"/>
  <c r="Q150" i="8"/>
  <c r="R160" i="8"/>
  <c r="R164" i="8" s="1"/>
  <c r="R157" i="8"/>
  <c r="R153" i="8" s="1"/>
  <c r="S149" i="8"/>
  <c r="R151" i="8"/>
  <c r="R156" i="8"/>
  <c r="S56" i="8" l="1"/>
  <c r="P166" i="8"/>
  <c r="Q159" i="8"/>
  <c r="Q163" i="8" s="1"/>
  <c r="Q161" i="8"/>
  <c r="Q165" i="8" s="1"/>
  <c r="S157" i="8"/>
  <c r="S153" i="8" s="1"/>
  <c r="S151" i="8"/>
  <c r="S160" i="8"/>
  <c r="S164" i="8" s="1"/>
  <c r="S156" i="8"/>
  <c r="R152" i="8"/>
  <c r="R154" i="8" s="1"/>
  <c r="Q2" i="10"/>
  <c r="Q1" i="8"/>
  <c r="Q1" i="10" s="1"/>
  <c r="R2" i="8"/>
  <c r="R150" i="8"/>
  <c r="S152" i="8" l="1"/>
  <c r="S154" i="8" s="1"/>
  <c r="Q166" i="8"/>
  <c r="S150" i="8"/>
  <c r="R159" i="8"/>
  <c r="R163" i="8" s="1"/>
  <c r="R161" i="8"/>
  <c r="R165" i="8" s="1"/>
  <c r="R2" i="10"/>
  <c r="R1" i="8"/>
  <c r="R1" i="10" s="1"/>
  <c r="S2" i="8"/>
  <c r="P32" i="8" l="1"/>
  <c r="R32" i="8" s="1"/>
  <c r="P33" i="8"/>
  <c r="R33" i="8" s="1"/>
  <c r="P35" i="8"/>
  <c r="R35" i="8" s="1"/>
  <c r="P34" i="8"/>
  <c r="R34" i="8" s="1"/>
  <c r="R166" i="8"/>
  <c r="S2" i="10"/>
  <c r="S1" i="8"/>
  <c r="S1" i="10" s="1"/>
  <c r="S161" i="8"/>
  <c r="S165" i="8" s="1"/>
  <c r="S159" i="8"/>
  <c r="S163" i="8" s="1"/>
  <c r="S166" i="8" l="1"/>
  <c r="F8" i="10" l="1"/>
  <c r="F9" i="10"/>
  <c r="F10" i="10"/>
  <c r="F11" i="10"/>
  <c r="O14" i="10"/>
  <c r="O12" i="10" s="1"/>
  <c r="Q14" i="10"/>
  <c r="Q12" i="10" s="1"/>
  <c r="P14" i="10"/>
  <c r="P12" i="10" s="1"/>
  <c r="M14" i="10"/>
  <c r="M12" i="10" s="1"/>
  <c r="N14" i="10"/>
  <c r="N12" i="10" s="1"/>
  <c r="R14" i="10"/>
  <c r="R12" i="10" s="1"/>
  <c r="S14" i="10"/>
  <c r="S12" i="10" s="1"/>
  <c r="L14" i="10" l="1"/>
  <c r="L12" i="10" s="1"/>
  <c r="F12" i="10" s="1"/>
  <c r="F3" i="10" s="1"/>
  <c r="D1" i="10" s="1"/>
  <c r="D2" i="8" s="1"/>
</calcChain>
</file>

<file path=xl/sharedStrings.xml><?xml version="1.0" encoding="utf-8"?>
<sst xmlns="http://schemas.openxmlformats.org/spreadsheetml/2006/main" count="222" uniqueCount="146">
  <si>
    <t>Payable Days</t>
  </si>
  <si>
    <t>Inventory Days</t>
  </si>
  <si>
    <t>Receivable Days</t>
  </si>
  <si>
    <t>EBITDA Margin</t>
  </si>
  <si>
    <t>Revenue</t>
  </si>
  <si>
    <t>Impairment</t>
  </si>
  <si>
    <t>Normalized EBIT</t>
  </si>
  <si>
    <t>Depreciation</t>
  </si>
  <si>
    <t>Amortization</t>
  </si>
  <si>
    <t>Total Debt</t>
  </si>
  <si>
    <t>Enterprise Value</t>
  </si>
  <si>
    <t>Currency</t>
  </si>
  <si>
    <t>Units</t>
  </si>
  <si>
    <t>EBITDA</t>
  </si>
  <si>
    <t>mn</t>
  </si>
  <si>
    <t>Base Inputs</t>
  </si>
  <si>
    <t>Company Inputs</t>
  </si>
  <si>
    <t>Company Name</t>
  </si>
  <si>
    <t>Timeline Inputs</t>
  </si>
  <si>
    <t>Latest Financial Yr. End</t>
  </si>
  <si>
    <t>Number of Historic Yrs</t>
  </si>
  <si>
    <t>Model months/period</t>
  </si>
  <si>
    <t>Model days/period</t>
  </si>
  <si>
    <t>days</t>
  </si>
  <si>
    <t>Key Financials</t>
  </si>
  <si>
    <t>Operating Expenses</t>
  </si>
  <si>
    <t>EBIT</t>
  </si>
  <si>
    <t>Capex Tangible</t>
  </si>
  <si>
    <t>Capex Intangible</t>
  </si>
  <si>
    <t>Inventory</t>
  </si>
  <si>
    <t>Receivable</t>
  </si>
  <si>
    <t>Payable</t>
  </si>
  <si>
    <t>Change in Inventory</t>
  </si>
  <si>
    <t>Change in Receivable</t>
  </si>
  <si>
    <t>Change in Payable</t>
  </si>
  <si>
    <t>Working Capital Investment</t>
  </si>
  <si>
    <t>EBIT Reported</t>
  </si>
  <si>
    <t>Tax Rate</t>
  </si>
  <si>
    <t>EBT</t>
  </si>
  <si>
    <t>Total Tax and Zakat</t>
  </si>
  <si>
    <t>Effective tax Rate</t>
  </si>
  <si>
    <t>Forecast Inputs</t>
  </si>
  <si>
    <t>Revenue Growth</t>
  </si>
  <si>
    <t>Capex Tangible (% of Revenue)</t>
  </si>
  <si>
    <t>Capex Intangible (% of Revenue)</t>
  </si>
  <si>
    <t>Dep (% of Tangible Capex)</t>
  </si>
  <si>
    <t>Amort (% of Intangible Capex)</t>
  </si>
  <si>
    <t>Year End</t>
  </si>
  <si>
    <t>Timeline</t>
  </si>
  <si>
    <t>Capex</t>
  </si>
  <si>
    <t>Scenario Manager</t>
  </si>
  <si>
    <t>Base Case</t>
  </si>
  <si>
    <t>Upside Case</t>
  </si>
  <si>
    <t>Downside Case</t>
  </si>
  <si>
    <t>Transaction Inputs</t>
  </si>
  <si>
    <t>Entry multiple (EV/EBITDA (x))</t>
  </si>
  <si>
    <t>Exit multiple (EV/EBITDA (x))</t>
  </si>
  <si>
    <t>Senior debt/EBITDA (x)</t>
  </si>
  <si>
    <t>Max debt/EBITDA (x)</t>
  </si>
  <si>
    <t>Min equity proportion (%)</t>
  </si>
  <si>
    <t>Entry fees (% of entry EV)</t>
  </si>
  <si>
    <t>Exit fees (% of exit EV)</t>
  </si>
  <si>
    <t>Base rate (LIBOR - 12 Months)</t>
  </si>
  <si>
    <t>Minimum Cash (% of EBITDA)</t>
  </si>
  <si>
    <t>CFADS</t>
  </si>
  <si>
    <t>Working Capital Investments</t>
  </si>
  <si>
    <t>Interest - Term Loan A</t>
  </si>
  <si>
    <t>Interest - Term Loan B</t>
  </si>
  <si>
    <t>Interest - High Yield</t>
  </si>
  <si>
    <t>Interest - Mezz</t>
  </si>
  <si>
    <t>Revolver Interest</t>
  </si>
  <si>
    <t>Tax</t>
  </si>
  <si>
    <t xml:space="preserve"> Repayment - Term Loan - A</t>
  </si>
  <si>
    <t xml:space="preserve"> Repayment - Term Loan - B</t>
  </si>
  <si>
    <t xml:space="preserve"> Repayment - High Yield</t>
  </si>
  <si>
    <t xml:space="preserve"> Repayment - Mezzanine</t>
  </si>
  <si>
    <t>Cash Flow Before Revolver Drawdown</t>
  </si>
  <si>
    <t>Cash Flow for the Year</t>
  </si>
  <si>
    <t>Revolver Drawdown</t>
  </si>
  <si>
    <t>Revolver Repayment</t>
  </si>
  <si>
    <t>Sources &amp; Uses of Funds</t>
  </si>
  <si>
    <t>Source of Funds</t>
  </si>
  <si>
    <t>Debt</t>
  </si>
  <si>
    <t>Term Loan - A</t>
  </si>
  <si>
    <t>Term Loan - B</t>
  </si>
  <si>
    <t>High Yield</t>
  </si>
  <si>
    <t>Mezzanine</t>
  </si>
  <si>
    <t>Equity</t>
  </si>
  <si>
    <t>Total Sources of Funds</t>
  </si>
  <si>
    <t>Entry multiple</t>
  </si>
  <si>
    <t>Entry Fee</t>
  </si>
  <si>
    <t>Minimum Cash</t>
  </si>
  <si>
    <t>Total Uses of Funds</t>
  </si>
  <si>
    <t>Weight</t>
  </si>
  <si>
    <t>EBITDAx</t>
  </si>
  <si>
    <t>Term (Yrs)</t>
  </si>
  <si>
    <t>Type</t>
  </si>
  <si>
    <t>Cash Spread</t>
  </si>
  <si>
    <t>Cash Interest</t>
  </si>
  <si>
    <t>PIK</t>
  </si>
  <si>
    <t>Interest Rate</t>
  </si>
  <si>
    <t>CFADS Available</t>
  </si>
  <si>
    <t>Debt Schedule</t>
  </si>
  <si>
    <t>Tenure</t>
  </si>
  <si>
    <t>Opening Balance</t>
  </si>
  <si>
    <t>Repayment -  Amort</t>
  </si>
  <si>
    <t>Repayment - Bullet</t>
  </si>
  <si>
    <t>Closing Balance</t>
  </si>
  <si>
    <t>Term Loan - A Cash Interest</t>
  </si>
  <si>
    <t>Cash &amp; Revolver</t>
  </si>
  <si>
    <t>Cash Balance</t>
  </si>
  <si>
    <t>Revolver Balance</t>
  </si>
  <si>
    <t>Revolver Working</t>
  </si>
  <si>
    <t>Cash Balance Before Revolver drawdown</t>
  </si>
  <si>
    <t>Minimum Equity Check</t>
  </si>
  <si>
    <t>Senior Debt Check</t>
  </si>
  <si>
    <t>Total Debt Check</t>
  </si>
  <si>
    <t>FV of Debt</t>
  </si>
  <si>
    <t>Max Debt</t>
  </si>
  <si>
    <t>Term loan A Check</t>
  </si>
  <si>
    <t>Term loan B Check</t>
  </si>
  <si>
    <t>High Yield Check</t>
  </si>
  <si>
    <t>Mezz Debt Check</t>
  </si>
  <si>
    <t>Total Check</t>
  </si>
  <si>
    <t>Mezz</t>
  </si>
  <si>
    <t>Total Cash Interest</t>
  </si>
  <si>
    <t>Mezz - Cash Interest</t>
  </si>
  <si>
    <t>High Yield  Cash Interest</t>
  </si>
  <si>
    <t>Term Loan - B Cash Interest</t>
  </si>
  <si>
    <t>Circular Switch</t>
  </si>
  <si>
    <t>EBITDA/Interest Coverage</t>
  </si>
  <si>
    <t>Minimum Interest Coverage</t>
  </si>
  <si>
    <t>Interest Coverage Check</t>
  </si>
  <si>
    <t>Net Debt</t>
  </si>
  <si>
    <t>Equity IRR</t>
  </si>
  <si>
    <t>Equity Vaule at Entry</t>
  </si>
  <si>
    <t>EV at Exit</t>
  </si>
  <si>
    <t>Equity Value at Exit</t>
  </si>
  <si>
    <t>MOIC</t>
  </si>
  <si>
    <t>Other Inputs</t>
  </si>
  <si>
    <t>ABC Corp</t>
  </si>
  <si>
    <t>USD</t>
  </si>
  <si>
    <t>EBITDA 2023</t>
  </si>
  <si>
    <t>Uses of Funds</t>
  </si>
  <si>
    <t>Amort</t>
  </si>
  <si>
    <t>Bullet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</si>
</sst>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  <numFmt numFmtId="170" formatCode="dd\-mmm\ yy;&quot;nm &quot;;&quot;nm &quot;;* @_)"/>
    <numFmt numFmtId="171" formatCode="0.0%_);\(0.0%\);\-\-&quot;%&quot;_);* @_)"/>
    <numFmt numFmtId="172" formatCode="0.00%_);\(0.00%\);\-\-&quot;%&quot;_)"/>
    <numFmt numFmtId="173" formatCode="#,##0_);\(#,##0\);\-\-_)"/>
    <numFmt numFmtId="176" formatCode="_(* #,##0_);_(* \(#,##0\);_(* &quot;-&quot;??_);_(@_)"/>
  </numFmts>
  <fonts count="1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164" fontId="0" fillId="0" borderId="0"/>
    <xf numFmtId="169" fontId="6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164" fontId="6" fillId="24" borderId="0" applyNumberFormat="0" applyFont="0" applyBorder="0" applyAlignment="0" applyProtection="0"/>
    <xf numFmtId="167" fontId="10" fillId="0" borderId="6" applyNumberFormat="0" applyFill="0" applyAlignment="0" applyProtection="0"/>
    <xf numFmtId="0" fontId="7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7" fillId="2" borderId="0" applyNumberFormat="0" applyBorder="0" applyAlignment="0" applyProtection="0"/>
    <xf numFmtId="0" fontId="8" fillId="21" borderId="0" applyNumberFormat="0" applyBorder="0" applyAlignment="0" applyProtection="0"/>
    <xf numFmtId="164" fontId="9" fillId="0" borderId="0" applyNumberFormat="0" applyBorder="0"/>
    <xf numFmtId="165" fontId="8" fillId="2" borderId="0" applyFill="0" applyBorder="0" applyAlignment="0" applyProtection="0"/>
    <xf numFmtId="166" fontId="6" fillId="0" borderId="0" applyFont="0" applyFill="0" applyBorder="0" applyAlignment="0" applyProtection="0"/>
    <xf numFmtId="167" fontId="6" fillId="22" borderId="4" applyNumberFormat="0" applyFont="0" applyAlignment="0" applyProtection="0"/>
    <xf numFmtId="167" fontId="6" fillId="23" borderId="0" applyNumberFormat="0" applyBorder="0" applyProtection="0"/>
    <xf numFmtId="168" fontId="6" fillId="0" borderId="0" applyFont="0" applyFill="0" applyBorder="0" applyAlignment="0" applyProtection="0"/>
    <xf numFmtId="164" fontId="5" fillId="25" borderId="4" applyNumberFormat="0">
      <alignment horizontal="center"/>
    </xf>
    <xf numFmtId="167" fontId="10" fillId="0" borderId="5" applyNumberFormat="0" applyFill="0" applyAlignment="0" applyProtection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8">
    <xf numFmtId="164" fontId="0" fillId="0" borderId="0" xfId="0"/>
    <xf numFmtId="164" fontId="4" fillId="0" borderId="3" xfId="4" applyNumberFormat="1"/>
    <xf numFmtId="164" fontId="3" fillId="0" borderId="2" xfId="3" applyNumberFormat="1"/>
    <xf numFmtId="164" fontId="7" fillId="2" borderId="0" xfId="26" applyNumberFormat="1"/>
    <xf numFmtId="164" fontId="2" fillId="0" borderId="1" xfId="2" applyNumberFormat="1"/>
    <xf numFmtId="164" fontId="10" fillId="0" borderId="5" xfId="35" applyNumberFormat="1"/>
    <xf numFmtId="164" fontId="6" fillId="23" borderId="0" xfId="32" applyNumberFormat="1"/>
    <xf numFmtId="169" fontId="6" fillId="23" borderId="0" xfId="32" applyNumberFormat="1"/>
    <xf numFmtId="164" fontId="8" fillId="21" borderId="0" xfId="27" applyNumberFormat="1"/>
    <xf numFmtId="164" fontId="10" fillId="0" borderId="6" xfId="0" applyFont="1" applyBorder="1"/>
    <xf numFmtId="164" fontId="10" fillId="0" borderId="6" xfId="6" applyNumberFormat="1"/>
    <xf numFmtId="164" fontId="8" fillId="21" borderId="5" xfId="27" applyNumberFormat="1" applyBorder="1"/>
    <xf numFmtId="164" fontId="10" fillId="0" borderId="0" xfId="35" applyNumberFormat="1" applyBorder="1"/>
    <xf numFmtId="164" fontId="8" fillId="0" borderId="0" xfId="0" applyFont="1"/>
    <xf numFmtId="0" fontId="0" fillId="23" borderId="0" xfId="32" applyNumberFormat="1" applyFont="1" applyAlignment="1" applyProtection="1">
      <alignment horizontal="right"/>
      <protection locked="0"/>
    </xf>
    <xf numFmtId="170" fontId="6" fillId="23" borderId="0" xfId="32" applyNumberFormat="1" applyProtection="1">
      <protection locked="0"/>
    </xf>
    <xf numFmtId="0" fontId="6" fillId="23" borderId="0" xfId="32" applyNumberFormat="1" applyProtection="1">
      <protection locked="0"/>
    </xf>
    <xf numFmtId="164" fontId="6" fillId="0" borderId="0" xfId="0" applyFont="1"/>
    <xf numFmtId="164" fontId="9" fillId="0" borderId="0" xfId="28"/>
    <xf numFmtId="164" fontId="0" fillId="23" borderId="0" xfId="32" applyNumberFormat="1" applyFont="1"/>
    <xf numFmtId="164" fontId="10" fillId="21" borderId="5" xfId="35" applyNumberFormat="1" applyFill="1"/>
    <xf numFmtId="169" fontId="8" fillId="0" borderId="0" xfId="1" applyFont="1"/>
    <xf numFmtId="169" fontId="10" fillId="0" borderId="5" xfId="1" applyFont="1" applyBorder="1"/>
    <xf numFmtId="0" fontId="8" fillId="21" borderId="0" xfId="27"/>
    <xf numFmtId="169" fontId="0" fillId="0" borderId="0" xfId="1" applyFont="1"/>
    <xf numFmtId="166" fontId="8" fillId="0" borderId="0" xfId="30" applyFont="1"/>
    <xf numFmtId="164" fontId="11" fillId="0" borderId="6" xfId="0" applyFont="1" applyBorder="1"/>
    <xf numFmtId="166" fontId="8" fillId="21" borderId="0" xfId="27" applyNumberFormat="1"/>
    <xf numFmtId="164" fontId="4" fillId="0" borderId="0" xfId="36" applyNumberFormat="1"/>
    <xf numFmtId="165" fontId="4" fillId="0" borderId="0" xfId="36" applyNumberFormat="1" applyFill="1" applyAlignment="1">
      <alignment horizontal="center"/>
    </xf>
    <xf numFmtId="164" fontId="4" fillId="0" borderId="0" xfId="36" applyNumberFormat="1" applyAlignment="1">
      <alignment horizontal="center"/>
    </xf>
    <xf numFmtId="164" fontId="6" fillId="23" borderId="0" xfId="32" applyNumberFormat="1" applyAlignment="1">
      <alignment horizontal="center"/>
    </xf>
    <xf numFmtId="164" fontId="11" fillId="22" borderId="4" xfId="31" applyNumberFormat="1" applyFont="1"/>
    <xf numFmtId="164" fontId="4" fillId="22" borderId="4" xfId="31" applyNumberFormat="1" applyFont="1" applyAlignment="1">
      <alignment horizontal="center"/>
    </xf>
    <xf numFmtId="164" fontId="0" fillId="0" borderId="6" xfId="0" applyBorder="1"/>
    <xf numFmtId="164" fontId="0" fillId="22" borderId="4" xfId="31" applyNumberFormat="1" applyFont="1"/>
    <xf numFmtId="0" fontId="8" fillId="21" borderId="0" xfId="27" applyNumberFormat="1"/>
    <xf numFmtId="169" fontId="8" fillId="21" borderId="0" xfId="27" applyNumberFormat="1"/>
    <xf numFmtId="171" fontId="6" fillId="23" borderId="0" xfId="32" applyNumberFormat="1"/>
    <xf numFmtId="166" fontId="6" fillId="23" borderId="0" xfId="32" applyNumberFormat="1"/>
    <xf numFmtId="169" fontId="8" fillId="22" borderId="4" xfId="31" applyNumberFormat="1" applyFont="1"/>
    <xf numFmtId="169" fontId="0" fillId="22" borderId="4" xfId="31" applyNumberFormat="1" applyFont="1"/>
    <xf numFmtId="166" fontId="8" fillId="22" borderId="4" xfId="31" applyNumberFormat="1" applyFont="1"/>
    <xf numFmtId="168" fontId="6" fillId="23" borderId="0" xfId="32" applyNumberFormat="1"/>
    <xf numFmtId="172" fontId="6" fillId="23" borderId="0" xfId="32" applyNumberFormat="1"/>
    <xf numFmtId="169" fontId="6" fillId="23" borderId="0" xfId="1" applyFill="1"/>
    <xf numFmtId="164" fontId="10" fillId="0" borderId="5" xfId="35" applyNumberFormat="1" applyFill="1"/>
    <xf numFmtId="164" fontId="4" fillId="0" borderId="3" xfId="4" applyNumberFormat="1" applyFill="1" applyAlignment="1">
      <alignment horizontal="center"/>
    </xf>
    <xf numFmtId="164" fontId="4" fillId="0" borderId="3" xfId="4" applyNumberFormat="1" applyAlignment="1">
      <alignment horizontal="center"/>
    </xf>
    <xf numFmtId="164" fontId="0" fillId="0" borderId="0" xfId="0" applyAlignment="1">
      <alignment wrapText="1"/>
    </xf>
    <xf numFmtId="165" fontId="8" fillId="0" borderId="0" xfId="29" applyFill="1"/>
    <xf numFmtId="172" fontId="0" fillId="0" borderId="0" xfId="1" applyNumberFormat="1" applyFont="1"/>
    <xf numFmtId="164" fontId="12" fillId="0" borderId="0" xfId="0" applyFont="1"/>
    <xf numFmtId="164" fontId="10" fillId="22" borderId="4" xfId="31" applyNumberFormat="1" applyFont="1"/>
    <xf numFmtId="168" fontId="6" fillId="23" borderId="0" xfId="33" applyFill="1"/>
    <xf numFmtId="164" fontId="11" fillId="0" borderId="0" xfId="0" applyFont="1"/>
    <xf numFmtId="164" fontId="11" fillId="26" borderId="6" xfId="0" applyFont="1" applyFill="1" applyBorder="1"/>
    <xf numFmtId="173" fontId="8" fillId="0" borderId="0" xfId="0" applyNumberFormat="1" applyFont="1"/>
    <xf numFmtId="173" fontId="10" fillId="0" borderId="5" xfId="35" applyNumberFormat="1"/>
    <xf numFmtId="173" fontId="11" fillId="0" borderId="6" xfId="0" applyNumberFormat="1" applyFont="1" applyBorder="1"/>
    <xf numFmtId="168" fontId="0" fillId="26" borderId="0" xfId="33" applyFont="1" applyFill="1"/>
    <xf numFmtId="173" fontId="6" fillId="23" borderId="0" xfId="32" applyNumberFormat="1"/>
    <xf numFmtId="173" fontId="10" fillId="0" borderId="0" xfId="35" applyNumberFormat="1" applyBorder="1"/>
    <xf numFmtId="173" fontId="10" fillId="0" borderId="6" xfId="6" applyNumberFormat="1"/>
    <xf numFmtId="164" fontId="0" fillId="26" borderId="0" xfId="0" applyFill="1"/>
    <xf numFmtId="176" fontId="8" fillId="0" borderId="0" xfId="37" applyNumberFormat="1" applyFont="1"/>
    <xf numFmtId="176" fontId="8" fillId="26" borderId="0" xfId="37" applyNumberFormat="1" applyFont="1" applyFill="1"/>
    <xf numFmtId="176" fontId="10" fillId="0" borderId="5" xfId="37" applyNumberFormat="1" applyFont="1" applyBorder="1"/>
  </cellXfs>
  <cellStyles count="38">
    <cellStyle name="20% - Accent1" xfId="8" builtinId="30" customBuiltin="1"/>
    <cellStyle name="20% - Accent2" xfId="11" builtinId="34" customBuiltin="1"/>
    <cellStyle name="20% - Accent3" xfId="14" builtinId="38" customBuiltin="1"/>
    <cellStyle name="20% - Accent4" xfId="17" builtinId="42" customBuiltin="1"/>
    <cellStyle name="20% - Accent5" xfId="20" builtinId="46" customBuiltin="1"/>
    <cellStyle name="20% - Accent6" xfId="23" builtinId="50" customBuiltin="1"/>
    <cellStyle name="40% - Accent1" xfId="9" builtinId="31" customBuiltin="1"/>
    <cellStyle name="40% - Accent2" xfId="12" builtinId="35" customBuiltin="1"/>
    <cellStyle name="40% - Accent3" xfId="15" builtinId="39" customBuiltin="1"/>
    <cellStyle name="40% - Accent4" xfId="18" builtinId="43" customBuiltin="1"/>
    <cellStyle name="40% - Accent5" xfId="21" builtinId="47" customBuiltin="1"/>
    <cellStyle name="40% - Accent6" xfId="24" builtinId="51" customBuiltin="1"/>
    <cellStyle name="60% - Accent1" xfId="10" builtinId="32" customBuiltin="1"/>
    <cellStyle name="60% - Accent2" xfId="13" builtinId="36" customBuiltin="1"/>
    <cellStyle name="60% - Accent3" xfId="16" builtinId="40" customBuiltin="1"/>
    <cellStyle name="60% - Accent4" xfId="19" builtinId="44" customBuiltin="1"/>
    <cellStyle name="60% - Accent5" xfId="22" builtinId="48" customBuiltin="1"/>
    <cellStyle name="60% - Accent6" xfId="25" builtinId="52" customBuiltin="1"/>
    <cellStyle name="Accent1" xfId="7" builtinId="29" customBuiltin="1"/>
    <cellStyle name="Blank" xfId="27" xr:uid="{B7D6B94B-6870-4BC3-B921-7E2AD4EA2179}"/>
    <cellStyle name="CellName" xfId="28" xr:uid="{D70B5F6A-DDFF-439B-AB0A-868A70AAA228}"/>
    <cellStyle name="Comma" xfId="37" builtinId="3"/>
    <cellStyle name="Date" xfId="29" xr:uid="{E7DAA3F6-ED37-495C-8DF9-D63374BC9087}"/>
    <cellStyle name="Days" xfId="30" xr:uid="{BDC7F4DD-A9BD-49A8-A7B6-DEA07DFDA98A}"/>
    <cellStyle name="Deviant" xfId="31" xr:uid="{07D0D44F-D6CD-492C-BDC9-8F0097958777}"/>
    <cellStyle name="Header" xfId="26" xr:uid="{5CCF2FE4-9FC9-4C66-BC55-79EE8B6D5305}"/>
    <cellStyle name="Heading 1" xfId="2" builtinId="16"/>
    <cellStyle name="Heading 2" xfId="3" builtinId="17"/>
    <cellStyle name="Heading 3" xfId="4" builtinId="18"/>
    <cellStyle name="Heading 4" xfId="36" builtinId="19"/>
    <cellStyle name="Inputs" xfId="32" xr:uid="{700295DF-03F2-4A4B-86AC-2F74584E48A3}"/>
    <cellStyle name="Multiple1" xfId="33" xr:uid="{26F9B7C6-459F-45B7-BE86-00FC2E42E21F}"/>
    <cellStyle name="Normal" xfId="0" builtinId="0"/>
    <cellStyle name="Output" xfId="5" builtinId="21" customBuiltin="1"/>
    <cellStyle name="Percent" xfId="1" builtinId="5" customBuiltin="1"/>
    <cellStyle name="Section Header" xfId="34" xr:uid="{7262EE5E-F212-46D0-93B6-C7DD18FCEA22}"/>
    <cellStyle name="Subtotal" xfId="35" xr:uid="{BF100EE3-4710-4061-932A-B2BA3D8162CB}"/>
    <cellStyle name="Total" xfId="6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AE79-1CF5-4EAD-A5A2-64AC60A09190}">
  <sheetPr codeName="Sheet3"/>
  <dimension ref="A1:X224"/>
  <sheetViews>
    <sheetView tabSelected="1" zoomScale="85" zoomScaleNormal="85" workbookViewId="0">
      <pane xSplit="6" ySplit="3" topLeftCell="I111" activePane="bottomRight" state="frozen"/>
      <selection pane="topRight"/>
      <selection pane="bottomLeft"/>
      <selection pane="bottomRight" activeCell="N124" sqref="N124"/>
    </sheetView>
  </sheetViews>
  <sheetFormatPr defaultColWidth="0" defaultRowHeight="13" x14ac:dyDescent="0.3"/>
  <cols>
    <col min="1" max="3" width="1.296875" style="13" customWidth="1"/>
    <col min="4" max="4" width="24.69921875" style="13" customWidth="1"/>
    <col min="5" max="5" width="1.296875" style="13" customWidth="1"/>
    <col min="6" max="6" width="12.8984375" style="13" bestFit="1" customWidth="1"/>
    <col min="7" max="7" width="1.296875" style="13" customWidth="1"/>
    <col min="8" max="8" width="13.59765625" style="13" bestFit="1" customWidth="1"/>
    <col min="9" max="9" width="19.8984375" style="13" customWidth="1"/>
    <col min="10" max="10" width="11.69921875" style="13" customWidth="1"/>
    <col min="11" max="15" width="14" style="13" bestFit="1" customWidth="1"/>
    <col min="16" max="16" width="14.8984375" style="13" customWidth="1"/>
    <col min="17" max="19" width="14" style="13" bestFit="1" customWidth="1"/>
    <col min="20" max="20" width="10.69921875" customWidth="1"/>
    <col min="21" max="24" width="0" style="13" hidden="1" customWidth="1"/>
    <col min="25" max="16384" width="7.3984375" style="13" hidden="1"/>
  </cols>
  <sheetData>
    <row r="1" spans="1:23" customFormat="1" ht="20" thickBot="1" x14ac:dyDescent="0.5">
      <c r="A1" s="4" t="str">
        <f>F6&amp;" - in "&amp;F7&amp;F8</f>
        <v>ABC Corp - in USDmn</v>
      </c>
      <c r="B1" s="4"/>
      <c r="C1" s="4"/>
      <c r="D1" s="4"/>
      <c r="F1" s="28" t="s">
        <v>47</v>
      </c>
      <c r="H1" s="29">
        <f>EDATE($F$10,$F$12*H2)</f>
        <v>44196</v>
      </c>
      <c r="I1" s="29">
        <f t="shared" ref="I1:S1" si="0">EDATE($F$10,$F$12*I2)</f>
        <v>44561</v>
      </c>
      <c r="J1" s="29">
        <f t="shared" si="0"/>
        <v>44926</v>
      </c>
      <c r="K1" s="29">
        <f t="shared" si="0"/>
        <v>45291</v>
      </c>
      <c r="L1" s="29">
        <f t="shared" si="0"/>
        <v>45657</v>
      </c>
      <c r="M1" s="29">
        <f t="shared" si="0"/>
        <v>46022</v>
      </c>
      <c r="N1" s="29">
        <f t="shared" si="0"/>
        <v>46387</v>
      </c>
      <c r="O1" s="29">
        <f t="shared" si="0"/>
        <v>46752</v>
      </c>
      <c r="P1" s="29">
        <f t="shared" si="0"/>
        <v>47118</v>
      </c>
      <c r="Q1" s="29">
        <f t="shared" si="0"/>
        <v>47483</v>
      </c>
      <c r="R1" s="29">
        <f t="shared" si="0"/>
        <v>47848</v>
      </c>
      <c r="S1" s="29">
        <f t="shared" si="0"/>
        <v>48213</v>
      </c>
      <c r="U1" s="13"/>
      <c r="V1" s="13"/>
      <c r="W1" s="13"/>
    </row>
    <row r="2" spans="1:23" customFormat="1" ht="15" thickTop="1" x14ac:dyDescent="0.35">
      <c r="A2" s="13"/>
      <c r="B2" s="13"/>
      <c r="C2" s="13"/>
      <c r="D2" s="13" t="str">
        <f>'LBO Checks'!$D$1</f>
        <v>Error</v>
      </c>
      <c r="E2" s="13"/>
      <c r="F2" s="28" t="s">
        <v>48</v>
      </c>
      <c r="G2" s="13"/>
      <c r="H2" s="33">
        <f>F11*-1</f>
        <v>-3</v>
      </c>
      <c r="I2" s="30">
        <f>H2+1</f>
        <v>-2</v>
      </c>
      <c r="J2" s="30">
        <f t="shared" ref="J2:S2" si="1">I2+1</f>
        <v>-1</v>
      </c>
      <c r="K2" s="30">
        <f t="shared" si="1"/>
        <v>0</v>
      </c>
      <c r="L2" s="30">
        <f t="shared" si="1"/>
        <v>1</v>
      </c>
      <c r="M2" s="30">
        <f t="shared" si="1"/>
        <v>2</v>
      </c>
      <c r="N2" s="30">
        <f t="shared" si="1"/>
        <v>3</v>
      </c>
      <c r="O2" s="30">
        <f t="shared" si="1"/>
        <v>4</v>
      </c>
      <c r="P2" s="30">
        <f t="shared" si="1"/>
        <v>5</v>
      </c>
      <c r="Q2" s="30">
        <f t="shared" si="1"/>
        <v>6</v>
      </c>
      <c r="R2" s="30">
        <f t="shared" si="1"/>
        <v>7</v>
      </c>
      <c r="S2" s="30">
        <f t="shared" si="1"/>
        <v>8</v>
      </c>
      <c r="U2" s="13"/>
      <c r="V2" s="13"/>
      <c r="W2" s="13"/>
    </row>
    <row r="3" spans="1:23" customFormat="1" ht="14.5" x14ac:dyDescent="0.35">
      <c r="A3" s="13"/>
      <c r="B3" s="13"/>
      <c r="C3" s="13"/>
      <c r="D3" s="13"/>
      <c r="E3" s="13"/>
      <c r="F3" s="28"/>
      <c r="G3" s="13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U3" s="13"/>
      <c r="V3" s="13"/>
      <c r="W3" s="13"/>
    </row>
    <row r="4" spans="1:23" customFormat="1" ht="15.5" x14ac:dyDescent="0.35">
      <c r="A4" s="3" t="s">
        <v>15</v>
      </c>
      <c r="B4" s="3"/>
      <c r="C4" s="3"/>
      <c r="D4" s="3"/>
      <c r="E4" s="3"/>
      <c r="F4" s="3"/>
      <c r="G4" s="3"/>
      <c r="H4" s="13"/>
      <c r="I4" s="3" t="s">
        <v>54</v>
      </c>
      <c r="J4" s="3"/>
      <c r="K4" s="3"/>
      <c r="N4" s="13"/>
      <c r="O4" s="21"/>
      <c r="P4" s="24"/>
      <c r="R4" s="13"/>
      <c r="S4" s="13"/>
    </row>
    <row r="5" spans="1:23" customFormat="1" ht="17.5" thickBot="1" x14ac:dyDescent="0.45">
      <c r="A5" s="13"/>
      <c r="B5" s="2" t="s">
        <v>16</v>
      </c>
      <c r="C5" s="2"/>
      <c r="D5" s="2"/>
      <c r="E5" s="13"/>
      <c r="F5" s="13"/>
      <c r="G5" s="13"/>
      <c r="H5" s="13"/>
      <c r="I5" s="13" t="s">
        <v>55</v>
      </c>
      <c r="K5" s="43">
        <v>10</v>
      </c>
      <c r="N5" s="13"/>
      <c r="O5" s="21"/>
      <c r="P5" s="24"/>
      <c r="Q5" s="13"/>
      <c r="R5" s="13"/>
      <c r="S5" s="13"/>
    </row>
    <row r="6" spans="1:23" customFormat="1" ht="13.5" thickTop="1" x14ac:dyDescent="0.3">
      <c r="A6" s="13"/>
      <c r="B6" s="13"/>
      <c r="C6" s="13"/>
      <c r="D6" s="13" t="s">
        <v>17</v>
      </c>
      <c r="E6" s="13"/>
      <c r="F6" s="14" t="s">
        <v>140</v>
      </c>
      <c r="G6" s="13"/>
      <c r="H6" s="13"/>
      <c r="I6" s="13" t="s">
        <v>56</v>
      </c>
      <c r="K6" s="43">
        <v>15</v>
      </c>
      <c r="N6" s="13"/>
      <c r="O6" s="21"/>
      <c r="P6" s="24"/>
      <c r="R6" s="13"/>
      <c r="S6" s="13"/>
    </row>
    <row r="7" spans="1:23" customFormat="1" x14ac:dyDescent="0.3">
      <c r="A7" s="13"/>
      <c r="B7" s="13"/>
      <c r="C7" s="13"/>
      <c r="D7" s="13" t="s">
        <v>11</v>
      </c>
      <c r="E7" s="13"/>
      <c r="F7" s="14" t="s">
        <v>141</v>
      </c>
      <c r="G7" s="13"/>
      <c r="H7" s="13"/>
      <c r="I7" s="13" t="s">
        <v>57</v>
      </c>
      <c r="K7" s="43">
        <v>4</v>
      </c>
      <c r="N7" s="13"/>
      <c r="O7" s="21"/>
      <c r="P7" s="24"/>
      <c r="Q7" s="13"/>
      <c r="R7" s="13"/>
      <c r="S7" s="13"/>
      <c r="T7" s="13"/>
      <c r="U7" s="13">
        <f>T7+1</f>
        <v>1</v>
      </c>
      <c r="V7" s="13">
        <f>U7+1</f>
        <v>2</v>
      </c>
    </row>
    <row r="8" spans="1:23" customFormat="1" x14ac:dyDescent="0.3">
      <c r="A8" s="13"/>
      <c r="B8" s="13"/>
      <c r="C8" s="13"/>
      <c r="D8" s="13" t="s">
        <v>12</v>
      </c>
      <c r="E8" s="13"/>
      <c r="F8" s="14" t="s">
        <v>14</v>
      </c>
      <c r="G8" s="13"/>
      <c r="H8" s="13"/>
      <c r="I8" s="13" t="s">
        <v>58</v>
      </c>
      <c r="K8" s="43">
        <v>6</v>
      </c>
      <c r="N8" s="13"/>
      <c r="O8" s="21"/>
      <c r="P8" s="24"/>
      <c r="Q8" s="13"/>
      <c r="R8" s="13"/>
      <c r="S8" s="13"/>
      <c r="T8" s="13"/>
    </row>
    <row r="9" spans="1:23" customFormat="1" ht="17.5" thickBot="1" x14ac:dyDescent="0.45">
      <c r="A9" s="13"/>
      <c r="B9" s="2" t="s">
        <v>18</v>
      </c>
      <c r="C9" s="2"/>
      <c r="D9" s="2"/>
      <c r="E9" s="13"/>
      <c r="F9" s="13"/>
      <c r="G9" s="13"/>
      <c r="H9" s="13"/>
      <c r="I9" s="13" t="s">
        <v>59</v>
      </c>
      <c r="K9" s="7">
        <v>0.3</v>
      </c>
      <c r="L9" s="24"/>
      <c r="M9" s="13"/>
      <c r="N9" s="13"/>
      <c r="O9" s="21"/>
      <c r="P9" s="24"/>
      <c r="Q9" s="13"/>
      <c r="R9" s="13"/>
      <c r="U9" s="13">
        <f>R9+1</f>
        <v>1</v>
      </c>
    </row>
    <row r="10" spans="1:23" customFormat="1" ht="13.5" thickTop="1" x14ac:dyDescent="0.3">
      <c r="A10" s="13"/>
      <c r="B10" s="13"/>
      <c r="C10" s="13"/>
      <c r="D10" s="13" t="s">
        <v>19</v>
      </c>
      <c r="E10" s="13"/>
      <c r="F10" s="15">
        <v>45291</v>
      </c>
      <c r="G10" s="13"/>
      <c r="H10" s="13"/>
      <c r="I10" s="13" t="s">
        <v>60</v>
      </c>
      <c r="K10" s="7">
        <v>0.01</v>
      </c>
      <c r="L10" s="13"/>
      <c r="M10" s="21"/>
      <c r="N10" s="13"/>
      <c r="O10" s="21"/>
      <c r="P10" s="24"/>
      <c r="Q10" s="21"/>
      <c r="R10" s="21"/>
      <c r="S10" s="24"/>
    </row>
    <row r="11" spans="1:23" customFormat="1" x14ac:dyDescent="0.3">
      <c r="A11" s="13"/>
      <c r="B11" s="13"/>
      <c r="C11" s="13"/>
      <c r="D11" s="13" t="s">
        <v>20</v>
      </c>
      <c r="E11" s="13"/>
      <c r="F11" s="16">
        <v>3</v>
      </c>
      <c r="G11" s="13"/>
      <c r="H11" s="13"/>
      <c r="I11" s="13" t="s">
        <v>61</v>
      </c>
      <c r="K11" s="7">
        <v>0.01</v>
      </c>
      <c r="L11" s="13"/>
      <c r="M11" s="21"/>
      <c r="N11" s="21"/>
      <c r="O11" s="24"/>
      <c r="P11" s="21"/>
      <c r="Q11" s="21"/>
      <c r="R11" s="24"/>
      <c r="S11" s="24"/>
    </row>
    <row r="12" spans="1:23" customFormat="1" x14ac:dyDescent="0.3">
      <c r="A12" s="13"/>
      <c r="B12" s="13"/>
      <c r="C12" s="13"/>
      <c r="D12" s="13" t="s">
        <v>21</v>
      </c>
      <c r="E12" s="13"/>
      <c r="F12" s="6">
        <v>12</v>
      </c>
      <c r="G12" s="13"/>
      <c r="H12" s="17"/>
      <c r="I12" s="13" t="s">
        <v>62</v>
      </c>
      <c r="K12" s="44">
        <v>2.9600000000000001E-2</v>
      </c>
      <c r="L12" s="13"/>
      <c r="M12" s="21"/>
      <c r="N12" s="21"/>
      <c r="O12" s="24"/>
      <c r="P12" s="21"/>
      <c r="Q12" s="21"/>
      <c r="R12" s="24"/>
      <c r="S12" s="24"/>
    </row>
    <row r="13" spans="1:23" customFormat="1" x14ac:dyDescent="0.3">
      <c r="A13" s="13"/>
      <c r="B13" s="13"/>
      <c r="C13" s="13"/>
      <c r="D13" s="13" t="s">
        <v>22</v>
      </c>
      <c r="E13" s="13"/>
      <c r="F13" s="6">
        <v>365</v>
      </c>
      <c r="G13" s="18" t="s">
        <v>23</v>
      </c>
      <c r="H13" s="17"/>
      <c r="I13" s="13" t="s">
        <v>63</v>
      </c>
      <c r="K13" s="45">
        <v>0.25</v>
      </c>
      <c r="L13" s="13"/>
      <c r="M13" s="21"/>
      <c r="N13" s="21"/>
      <c r="O13" s="24"/>
      <c r="P13" s="21"/>
      <c r="Q13" s="21"/>
      <c r="R13" s="24"/>
      <c r="S13" s="24"/>
    </row>
    <row r="14" spans="1:23" customFormat="1" ht="17.5" thickBot="1" x14ac:dyDescent="0.45">
      <c r="B14" s="2" t="s">
        <v>139</v>
      </c>
      <c r="C14" s="2"/>
      <c r="D14" s="2"/>
      <c r="I14" s="13" t="s">
        <v>131</v>
      </c>
      <c r="K14" s="54">
        <v>4.5</v>
      </c>
      <c r="L14" s="13"/>
      <c r="M14" s="21"/>
      <c r="N14" s="21"/>
      <c r="O14" s="24"/>
      <c r="P14" s="21"/>
      <c r="Q14" s="21"/>
      <c r="R14" s="24"/>
      <c r="S14" s="24"/>
    </row>
    <row r="15" spans="1:23" customFormat="1" ht="13.5" thickTop="1" x14ac:dyDescent="0.3">
      <c r="L15" s="13"/>
      <c r="M15" s="21"/>
      <c r="N15" s="21"/>
      <c r="O15" s="24"/>
      <c r="P15" s="24"/>
      <c r="Q15" s="24"/>
      <c r="R15" s="24"/>
      <c r="S15" s="24"/>
    </row>
    <row r="16" spans="1:23" customFormat="1" x14ac:dyDescent="0.3">
      <c r="L16" s="13"/>
      <c r="M16" s="21"/>
      <c r="N16" s="21"/>
      <c r="O16" s="24"/>
      <c r="P16" s="24"/>
      <c r="Q16" s="24"/>
      <c r="R16" s="24"/>
      <c r="S16" s="24"/>
    </row>
    <row r="17" spans="1:20" customFormat="1" x14ac:dyDescent="0.3">
      <c r="O17" s="13"/>
      <c r="P17" s="13"/>
    </row>
    <row r="18" spans="1:20" s="3" customFormat="1" ht="15.5" x14ac:dyDescent="0.35">
      <c r="A18" s="3" t="s">
        <v>134</v>
      </c>
      <c r="T18"/>
    </row>
    <row r="19" spans="1:20" customFormat="1" x14ac:dyDescent="0.3"/>
    <row r="20" spans="1:20" customFormat="1" x14ac:dyDescent="0.3">
      <c r="D20" t="s">
        <v>135</v>
      </c>
    </row>
    <row r="21" spans="1:20" customFormat="1" x14ac:dyDescent="0.3"/>
    <row r="22" spans="1:20" customFormat="1" x14ac:dyDescent="0.3">
      <c r="D22" t="s">
        <v>136</v>
      </c>
      <c r="H22" s="8"/>
      <c r="I22" s="8"/>
      <c r="J22" s="8"/>
      <c r="K22" s="8"/>
    </row>
    <row r="23" spans="1:20" customFormat="1" x14ac:dyDescent="0.3">
      <c r="D23" t="s">
        <v>137</v>
      </c>
      <c r="H23" s="8"/>
      <c r="I23" s="8"/>
      <c r="J23" s="8"/>
      <c r="K23" s="8"/>
    </row>
    <row r="24" spans="1:20" customFormat="1" x14ac:dyDescent="0.3"/>
    <row r="25" spans="1:20" customFormat="1" x14ac:dyDescent="0.3">
      <c r="D25" t="s">
        <v>134</v>
      </c>
      <c r="H25" s="8"/>
      <c r="I25" s="8"/>
      <c r="J25" s="8"/>
      <c r="K25" s="8"/>
      <c r="L25" s="24"/>
      <c r="M25" s="24"/>
      <c r="N25" s="24"/>
      <c r="O25" s="24"/>
      <c r="P25" s="24"/>
      <c r="Q25" s="24"/>
      <c r="R25" s="24"/>
      <c r="S25" s="24"/>
    </row>
    <row r="26" spans="1:20" customFormat="1" x14ac:dyDescent="0.3">
      <c r="D26" t="s">
        <v>138</v>
      </c>
      <c r="H26" s="8"/>
      <c r="I26" s="8"/>
      <c r="J26" s="8"/>
      <c r="K26" s="8"/>
    </row>
    <row r="27" spans="1:20" customFormat="1" x14ac:dyDescent="0.3"/>
    <row r="28" spans="1:20" customFormat="1" ht="15.5" x14ac:dyDescent="0.35">
      <c r="A28" s="3" t="s">
        <v>80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0" customFormat="1" x14ac:dyDescent="0.3"/>
    <row r="30" spans="1:20" customFormat="1" ht="15" thickBot="1" x14ac:dyDescent="0.4">
      <c r="B30" s="1" t="s">
        <v>81</v>
      </c>
      <c r="C30" s="1"/>
      <c r="D30" s="1"/>
      <c r="E30" s="1"/>
      <c r="F30" s="13"/>
      <c r="H30" s="47" t="s">
        <v>93</v>
      </c>
      <c r="I30" s="48" t="s">
        <v>94</v>
      </c>
      <c r="J30" s="48" t="s">
        <v>95</v>
      </c>
      <c r="K30" s="48" t="s">
        <v>96</v>
      </c>
      <c r="L30" s="48" t="s">
        <v>97</v>
      </c>
      <c r="M30" s="48" t="s">
        <v>98</v>
      </c>
      <c r="N30" s="48" t="s">
        <v>99</v>
      </c>
      <c r="O30" s="48" t="s">
        <v>100</v>
      </c>
      <c r="P30" s="48" t="s">
        <v>101</v>
      </c>
      <c r="Q30" s="48" t="s">
        <v>117</v>
      </c>
      <c r="R30" s="48" t="s">
        <v>118</v>
      </c>
    </row>
    <row r="31" spans="1:20" customFormat="1" ht="14.5" x14ac:dyDescent="0.35">
      <c r="B31" s="13"/>
      <c r="C31" s="28" t="s">
        <v>82</v>
      </c>
      <c r="D31" s="13"/>
      <c r="E31" s="13"/>
      <c r="F31" s="13"/>
    </row>
    <row r="32" spans="1:20" customFormat="1" x14ac:dyDescent="0.3">
      <c r="B32" s="13"/>
      <c r="C32" s="13"/>
      <c r="D32" s="13" t="s">
        <v>83</v>
      </c>
      <c r="E32" s="13"/>
      <c r="F32" s="61">
        <v>130000</v>
      </c>
      <c r="I32" s="60">
        <f>IFERROR(SUM($F$32:F32)/$F$42,0)</f>
        <v>2.7417390384918168</v>
      </c>
      <c r="J32" s="6">
        <v>5</v>
      </c>
      <c r="K32" s="31" t="s">
        <v>144</v>
      </c>
      <c r="L32" s="7">
        <v>0.01</v>
      </c>
      <c r="M32" s="51">
        <f>L32+$K$12</f>
        <v>3.9600000000000003E-2</v>
      </c>
      <c r="N32" s="45">
        <v>0</v>
      </c>
      <c r="O32" s="24">
        <f>SUM(M32:N32)</f>
        <v>3.9600000000000003E-2</v>
      </c>
      <c r="P32">
        <f>SUMIF($L$2:$S$2,"&lt;="&amp;J32,$L$114:$S$114)</f>
        <v>137599.3091730641</v>
      </c>
      <c r="Q32">
        <f>FV(N32,J32,,-F32,)</f>
        <v>130000</v>
      </c>
      <c r="R32">
        <f>P32-SUM(Q31:$Q$31)</f>
        <v>137599.3091730641</v>
      </c>
    </row>
    <row r="33" spans="1:19" customFormat="1" x14ac:dyDescent="0.3">
      <c r="B33" s="13"/>
      <c r="C33" s="13"/>
      <c r="D33" s="13" t="s">
        <v>84</v>
      </c>
      <c r="E33" s="13"/>
      <c r="F33" s="61">
        <v>40000</v>
      </c>
      <c r="I33" s="60">
        <f>IFERROR(SUM($F$32:F33)/$F$42,0)</f>
        <v>3.5853510503354529</v>
      </c>
      <c r="J33" s="6">
        <v>6</v>
      </c>
      <c r="K33" s="31" t="s">
        <v>145</v>
      </c>
      <c r="L33" s="7">
        <v>1.4999999999999999E-2</v>
      </c>
      <c r="M33" s="51">
        <f>L33+$K$12</f>
        <v>4.4600000000000001E-2</v>
      </c>
      <c r="N33" s="45">
        <v>0</v>
      </c>
      <c r="O33" s="24">
        <f>SUM(M33:N33)</f>
        <v>4.4600000000000001E-2</v>
      </c>
      <c r="P33">
        <f>SUMIF($L$2:$S$2,"&lt;="&amp;J33,$L$114:$S$114)</f>
        <v>172840.57584237575</v>
      </c>
      <c r="Q33">
        <f>FV(N33,J33,,-F33,)</f>
        <v>40000</v>
      </c>
      <c r="R33">
        <f>P33-SUM(Q$31:$Q32)</f>
        <v>42840.575842375751</v>
      </c>
    </row>
    <row r="34" spans="1:19" customFormat="1" x14ac:dyDescent="0.3">
      <c r="B34" s="13"/>
      <c r="C34" s="13"/>
      <c r="D34" s="13" t="s">
        <v>85</v>
      </c>
      <c r="E34" s="13"/>
      <c r="F34" s="61">
        <v>10000</v>
      </c>
      <c r="I34" s="60">
        <f>IFERROR(SUM($F$32:F34)/$F$42,0)</f>
        <v>3.7962540532963618</v>
      </c>
      <c r="J34" s="6">
        <v>7</v>
      </c>
      <c r="K34" s="31" t="s">
        <v>145</v>
      </c>
      <c r="L34" s="7">
        <v>0.03</v>
      </c>
      <c r="M34" s="51">
        <f>L34+$K$12</f>
        <v>5.96E-2</v>
      </c>
      <c r="N34" s="45">
        <v>0</v>
      </c>
      <c r="O34" s="24">
        <f>SUM(M34:N34)</f>
        <v>5.96E-2</v>
      </c>
      <c r="P34">
        <f>SUMIF($L$2:$S$2,"&lt;="&amp;J34,$L$114:$S$114)</f>
        <v>211327.77038490976</v>
      </c>
      <c r="Q34">
        <f>FV(N34,J34,,-F34,)</f>
        <v>10000</v>
      </c>
      <c r="R34">
        <f>P34-SUM(Q$31:$Q33)</f>
        <v>41327.77038490976</v>
      </c>
    </row>
    <row r="35" spans="1:19" customFormat="1" x14ac:dyDescent="0.3">
      <c r="B35" s="13"/>
      <c r="C35" s="13"/>
      <c r="D35" s="13" t="s">
        <v>86</v>
      </c>
      <c r="E35" s="13"/>
      <c r="F35" s="61">
        <v>70000</v>
      </c>
      <c r="I35" s="60">
        <f>IFERROR(SUM($F$32:F35)/$F$42,0)</f>
        <v>5.2725750740227246</v>
      </c>
      <c r="J35" s="6">
        <v>8</v>
      </c>
      <c r="K35" s="31" t="s">
        <v>145</v>
      </c>
      <c r="L35" s="7">
        <v>0.01</v>
      </c>
      <c r="M35" s="51">
        <f>L35+$K$12</f>
        <v>3.9600000000000003E-2</v>
      </c>
      <c r="N35" s="45">
        <v>0.04</v>
      </c>
      <c r="O35" s="24">
        <f>SUM(M35:N35)</f>
        <v>7.9600000000000004E-2</v>
      </c>
      <c r="P35">
        <f>SUMIF($L$2:$S$2,"&lt;="&amp;J35,$L$114:$S$114)</f>
        <v>252038.9635958967</v>
      </c>
      <c r="Q35">
        <f>FV(N35,J35,,-F35,)</f>
        <v>95799.833528369185</v>
      </c>
      <c r="R35">
        <f>P35-SUM(Q$31:$Q34)</f>
        <v>72038.963595896697</v>
      </c>
    </row>
    <row r="36" spans="1:19" customFormat="1" x14ac:dyDescent="0.3">
      <c r="B36" s="13"/>
      <c r="C36" s="13"/>
      <c r="D36" s="5" t="s">
        <v>9</v>
      </c>
      <c r="E36" s="5"/>
      <c r="F36" s="58">
        <f>SUM(F32:F35)</f>
        <v>250000</v>
      </c>
      <c r="H36" s="24">
        <f>F36/$F$38</f>
        <v>0.50942754338383811</v>
      </c>
    </row>
    <row r="37" spans="1:19" customFormat="1" ht="14.5" x14ac:dyDescent="0.35">
      <c r="B37" s="13"/>
      <c r="C37" s="13"/>
      <c r="D37" s="28" t="s">
        <v>87</v>
      </c>
      <c r="E37" s="12"/>
      <c r="F37" s="62">
        <f>F46-F36</f>
        <v>240746.92416391906</v>
      </c>
      <c r="H37" s="24">
        <f t="shared" ref="H37" si="2">F37/$F$38</f>
        <v>0.49057245661616189</v>
      </c>
    </row>
    <row r="38" spans="1:19" customFormat="1" x14ac:dyDescent="0.3">
      <c r="B38" s="13"/>
      <c r="C38" s="13"/>
      <c r="D38" s="10" t="s">
        <v>88</v>
      </c>
      <c r="E38" s="10"/>
      <c r="F38" s="63">
        <f>F36+F37</f>
        <v>490746.92416391906</v>
      </c>
    </row>
    <row r="39" spans="1:19" customFormat="1" x14ac:dyDescent="0.3">
      <c r="B39" s="13"/>
      <c r="C39" s="13"/>
      <c r="D39" s="5"/>
      <c r="E39" s="5"/>
      <c r="F39" s="5"/>
    </row>
    <row r="40" spans="1:19" customFormat="1" ht="15" thickBot="1" x14ac:dyDescent="0.4">
      <c r="B40" s="1" t="s">
        <v>143</v>
      </c>
      <c r="C40" s="1"/>
      <c r="D40" s="1"/>
      <c r="E40" s="1"/>
      <c r="F40" s="13"/>
    </row>
    <row r="41" spans="1:19" customFormat="1" x14ac:dyDescent="0.3">
      <c r="B41" s="13"/>
      <c r="C41" s="13"/>
      <c r="D41" s="13" t="s">
        <v>89</v>
      </c>
      <c r="E41" s="13"/>
      <c r="F41" s="57">
        <f>K5</f>
        <v>10</v>
      </c>
    </row>
    <row r="42" spans="1:19" customFormat="1" x14ac:dyDescent="0.3">
      <c r="B42" s="13"/>
      <c r="C42" s="13"/>
      <c r="D42" s="13" t="s">
        <v>142</v>
      </c>
      <c r="E42" s="13"/>
      <c r="F42" s="57">
        <f>K151</f>
        <v>47415.161754968023</v>
      </c>
    </row>
    <row r="43" spans="1:19" customFormat="1" x14ac:dyDescent="0.3">
      <c r="B43" s="13"/>
      <c r="C43" s="5" t="s">
        <v>10</v>
      </c>
      <c r="D43" s="5"/>
      <c r="E43" s="5"/>
      <c r="F43" s="58">
        <f>F41*F42</f>
        <v>474151.61754968023</v>
      </c>
    </row>
    <row r="44" spans="1:19" customFormat="1" x14ac:dyDescent="0.3">
      <c r="B44" s="13"/>
      <c r="C44" s="13"/>
      <c r="D44" s="13" t="s">
        <v>90</v>
      </c>
      <c r="E44" s="13"/>
      <c r="F44" s="57">
        <f>K10*F43</f>
        <v>4741.5161754968021</v>
      </c>
    </row>
    <row r="45" spans="1:19" customFormat="1" x14ac:dyDescent="0.3">
      <c r="B45" s="13"/>
      <c r="C45" s="13"/>
      <c r="D45" s="13" t="s">
        <v>91</v>
      </c>
      <c r="E45" s="13"/>
      <c r="F45" s="57">
        <f>K13*F42</f>
        <v>11853.790438742006</v>
      </c>
    </row>
    <row r="46" spans="1:19" customFormat="1" x14ac:dyDescent="0.3">
      <c r="B46" s="13"/>
      <c r="C46" s="13"/>
      <c r="D46" s="26" t="s">
        <v>92</v>
      </c>
      <c r="E46" s="26"/>
      <c r="F46" s="59">
        <f>F43+F44+F45</f>
        <v>490746.92416391906</v>
      </c>
    </row>
    <row r="47" spans="1:19" customFormat="1" x14ac:dyDescent="0.3">
      <c r="B47" s="13"/>
      <c r="C47" s="13"/>
      <c r="D47" s="55"/>
      <c r="E47" s="55"/>
      <c r="F47" s="55"/>
    </row>
    <row r="48" spans="1:19" customFormat="1" ht="15.5" x14ac:dyDescent="0.35">
      <c r="A48" s="3" t="s">
        <v>102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customFormat="1" ht="15" thickBot="1" x14ac:dyDescent="0.4">
      <c r="B49" s="1" t="s">
        <v>83</v>
      </c>
      <c r="C49" s="1"/>
      <c r="D49" s="1"/>
      <c r="E49" s="13"/>
    </row>
    <row r="50" spans="2:19" customFormat="1" x14ac:dyDescent="0.3">
      <c r="B50" s="13"/>
      <c r="C50" s="13"/>
      <c r="D50" s="13" t="s">
        <v>103</v>
      </c>
      <c r="E50" s="13"/>
      <c r="F50">
        <f>$J$32</f>
        <v>5</v>
      </c>
    </row>
    <row r="51" spans="2:19" customFormat="1" x14ac:dyDescent="0.3">
      <c r="B51" s="13"/>
      <c r="C51" s="13"/>
      <c r="D51" s="13"/>
      <c r="E51" s="13"/>
    </row>
    <row r="52" spans="2:19" customFormat="1" x14ac:dyDescent="0.3">
      <c r="B52" s="13"/>
      <c r="C52" s="13"/>
      <c r="D52" s="13" t="s">
        <v>104</v>
      </c>
      <c r="E52" s="13"/>
      <c r="H52" s="8"/>
      <c r="I52" s="8"/>
      <c r="J52" s="8"/>
      <c r="K52" s="8"/>
      <c r="L52" s="13">
        <f>K56</f>
        <v>130000</v>
      </c>
      <c r="M52">
        <f t="shared" ref="M52:S52" si="3">L56</f>
        <v>104000</v>
      </c>
      <c r="N52">
        <f t="shared" ref="N52:S52" si="4">M56</f>
        <v>78000</v>
      </c>
      <c r="O52">
        <f t="shared" si="4"/>
        <v>52000</v>
      </c>
      <c r="P52">
        <f t="shared" si="4"/>
        <v>26000</v>
      </c>
      <c r="Q52">
        <f t="shared" si="4"/>
        <v>0</v>
      </c>
      <c r="R52">
        <f t="shared" si="4"/>
        <v>0</v>
      </c>
      <c r="S52">
        <f t="shared" si="4"/>
        <v>0</v>
      </c>
    </row>
    <row r="53" spans="2:19" customFormat="1" x14ac:dyDescent="0.3">
      <c r="B53" s="13"/>
      <c r="C53" s="13"/>
      <c r="D53" s="13" t="s">
        <v>99</v>
      </c>
      <c r="E53" s="13"/>
      <c r="F53" s="24">
        <f>$N$32</f>
        <v>0</v>
      </c>
      <c r="H53" s="8"/>
      <c r="I53" s="8"/>
      <c r="J53" s="8"/>
      <c r="K53" s="8"/>
      <c r="L53">
        <f>L52*$F53</f>
        <v>0</v>
      </c>
      <c r="M53">
        <f t="shared" ref="M53:S53" si="5">M52*$F53</f>
        <v>0</v>
      </c>
      <c r="N53">
        <f t="shared" ref="N53" si="6">N52*$F53</f>
        <v>0</v>
      </c>
      <c r="O53">
        <f t="shared" ref="O53" si="7">O52*$F53</f>
        <v>0</v>
      </c>
      <c r="P53">
        <f t="shared" ref="P53" si="8">P52*$F53</f>
        <v>0</v>
      </c>
      <c r="Q53">
        <f t="shared" ref="Q53" si="9">Q52*$F53</f>
        <v>0</v>
      </c>
      <c r="R53">
        <f t="shared" ref="R53" si="10">R52*$F53</f>
        <v>0</v>
      </c>
      <c r="S53">
        <f t="shared" ref="S53" si="11">S52*$F53</f>
        <v>0</v>
      </c>
    </row>
    <row r="54" spans="2:19" customFormat="1" x14ac:dyDescent="0.3">
      <c r="B54" s="13"/>
      <c r="C54" s="13"/>
      <c r="D54" s="13" t="s">
        <v>105</v>
      </c>
      <c r="E54" s="13"/>
      <c r="F54">
        <f>IF($K$32="Amort",1,0)</f>
        <v>1</v>
      </c>
      <c r="H54" s="8"/>
      <c r="I54" s="8"/>
      <c r="J54" s="8"/>
      <c r="K54" s="8"/>
      <c r="L54">
        <f>MIN($L52/$F50,L52)*$F54*-1</f>
        <v>-26000</v>
      </c>
      <c r="M54">
        <f t="shared" ref="M54:S54" si="12">MIN($L52/$F50,M52)*$F54*-1</f>
        <v>-26000</v>
      </c>
      <c r="N54">
        <f t="shared" si="12"/>
        <v>-26000</v>
      </c>
      <c r="O54">
        <f t="shared" si="12"/>
        <v>-26000</v>
      </c>
      <c r="P54">
        <f t="shared" si="12"/>
        <v>-26000</v>
      </c>
      <c r="Q54">
        <f t="shared" si="12"/>
        <v>0</v>
      </c>
      <c r="R54">
        <f t="shared" si="12"/>
        <v>0</v>
      </c>
      <c r="S54">
        <f t="shared" si="12"/>
        <v>0</v>
      </c>
    </row>
    <row r="55" spans="2:19" customFormat="1" x14ac:dyDescent="0.3">
      <c r="B55" s="13"/>
      <c r="C55" s="13"/>
      <c r="D55" s="13" t="s">
        <v>106</v>
      </c>
      <c r="E55" s="13"/>
      <c r="F55">
        <f>1-F54</f>
        <v>0</v>
      </c>
      <c r="H55" s="8"/>
      <c r="I55" s="8"/>
      <c r="J55" s="8"/>
      <c r="K55" s="8"/>
      <c r="L55">
        <f>IF($F50=L$2,SUM(L52:L53),0)*$F55*-1</f>
        <v>0</v>
      </c>
      <c r="M55">
        <f t="shared" ref="M55:S55" si="13">IF($F50=M$2,SUM(M52:M53),0)*$F55*-1</f>
        <v>0</v>
      </c>
      <c r="N55">
        <f t="shared" si="13"/>
        <v>0</v>
      </c>
      <c r="O55">
        <f t="shared" si="13"/>
        <v>0</v>
      </c>
      <c r="P55">
        <f t="shared" si="13"/>
        <v>0</v>
      </c>
      <c r="Q55">
        <f t="shared" si="13"/>
        <v>0</v>
      </c>
      <c r="R55">
        <f t="shared" si="13"/>
        <v>0</v>
      </c>
      <c r="S55">
        <f t="shared" si="13"/>
        <v>0</v>
      </c>
    </row>
    <row r="56" spans="2:19" customFormat="1" x14ac:dyDescent="0.3">
      <c r="B56" s="13"/>
      <c r="C56" s="13"/>
      <c r="D56" s="5" t="s">
        <v>107</v>
      </c>
      <c r="E56" s="5"/>
      <c r="F56" s="5"/>
      <c r="G56" s="5"/>
      <c r="H56" s="11"/>
      <c r="I56" s="11"/>
      <c r="J56" s="11"/>
      <c r="K56" s="53">
        <f>F32</f>
        <v>130000</v>
      </c>
      <c r="L56" s="5">
        <f>SUM(L52:L55)</f>
        <v>104000</v>
      </c>
      <c r="M56" s="5">
        <f t="shared" ref="M56:S56" si="14">SUM(M52:M55)</f>
        <v>78000</v>
      </c>
      <c r="N56" s="5">
        <f t="shared" si="14"/>
        <v>52000</v>
      </c>
      <c r="O56" s="5">
        <f t="shared" si="14"/>
        <v>26000</v>
      </c>
      <c r="P56" s="5">
        <f t="shared" si="14"/>
        <v>0</v>
      </c>
      <c r="Q56" s="5">
        <f t="shared" si="14"/>
        <v>0</v>
      </c>
      <c r="R56" s="5">
        <f t="shared" si="14"/>
        <v>0</v>
      </c>
      <c r="S56" s="5">
        <f t="shared" si="14"/>
        <v>0</v>
      </c>
    </row>
    <row r="57" spans="2:19" customFormat="1" x14ac:dyDescent="0.3">
      <c r="B57" s="13"/>
      <c r="C57" s="13"/>
      <c r="D57" s="13"/>
      <c r="E57" s="13"/>
    </row>
    <row r="58" spans="2:19" customFormat="1" x14ac:dyDescent="0.3">
      <c r="B58" s="13"/>
      <c r="C58" s="13"/>
      <c r="D58" s="13" t="s">
        <v>108</v>
      </c>
      <c r="E58" s="13"/>
      <c r="F58" s="51">
        <f>$M$32</f>
        <v>3.9600000000000003E-2</v>
      </c>
      <c r="H58" s="8"/>
      <c r="I58" s="8"/>
      <c r="J58" s="8"/>
      <c r="K58" s="8"/>
      <c r="L58">
        <f>$F$58*L52*-1</f>
        <v>-5148</v>
      </c>
      <c r="M58">
        <f t="shared" ref="M58:S58" si="15">$F$58*M52*-1</f>
        <v>-4118.4000000000005</v>
      </c>
      <c r="N58">
        <f t="shared" si="15"/>
        <v>-3088.8</v>
      </c>
      <c r="O58">
        <f t="shared" si="15"/>
        <v>-2059.2000000000003</v>
      </c>
      <c r="P58">
        <f t="shared" si="15"/>
        <v>-1029.6000000000001</v>
      </c>
      <c r="Q58">
        <f t="shared" si="15"/>
        <v>0</v>
      </c>
      <c r="R58">
        <f t="shared" si="15"/>
        <v>0</v>
      </c>
      <c r="S58">
        <f t="shared" si="15"/>
        <v>0</v>
      </c>
    </row>
    <row r="59" spans="2:19" customFormat="1" x14ac:dyDescent="0.3"/>
    <row r="60" spans="2:19" customFormat="1" ht="15" thickBot="1" x14ac:dyDescent="0.4">
      <c r="B60" s="1" t="s">
        <v>84</v>
      </c>
      <c r="C60" s="1"/>
      <c r="D60" s="1"/>
      <c r="E60" s="13"/>
    </row>
    <row r="61" spans="2:19" customFormat="1" x14ac:dyDescent="0.3">
      <c r="B61" s="13"/>
      <c r="C61" s="13"/>
      <c r="D61" s="13" t="s">
        <v>103</v>
      </c>
      <c r="E61" s="13"/>
      <c r="F61">
        <f>$J$33</f>
        <v>6</v>
      </c>
    </row>
    <row r="62" spans="2:19" customFormat="1" x14ac:dyDescent="0.3">
      <c r="B62" s="13"/>
      <c r="C62" s="13"/>
      <c r="D62" s="13"/>
      <c r="E62" s="13"/>
    </row>
    <row r="63" spans="2:19" customFormat="1" x14ac:dyDescent="0.3">
      <c r="B63" s="13"/>
      <c r="C63" s="13"/>
      <c r="D63" s="13" t="s">
        <v>104</v>
      </c>
      <c r="E63" s="13"/>
      <c r="H63" s="8"/>
      <c r="I63" s="8"/>
      <c r="J63" s="8"/>
      <c r="K63" s="8"/>
      <c r="L63" s="13">
        <f>K67</f>
        <v>40000</v>
      </c>
      <c r="M63">
        <f t="shared" ref="M63:S63" si="16">L67</f>
        <v>40000</v>
      </c>
      <c r="N63">
        <f t="shared" si="16"/>
        <v>40000</v>
      </c>
      <c r="O63">
        <f t="shared" si="16"/>
        <v>40000</v>
      </c>
      <c r="P63">
        <f t="shared" si="16"/>
        <v>40000</v>
      </c>
      <c r="Q63">
        <f t="shared" si="16"/>
        <v>40000</v>
      </c>
      <c r="R63">
        <f t="shared" si="16"/>
        <v>0</v>
      </c>
      <c r="S63">
        <f t="shared" si="16"/>
        <v>0</v>
      </c>
    </row>
    <row r="64" spans="2:19" customFormat="1" x14ac:dyDescent="0.3">
      <c r="B64" s="13"/>
      <c r="C64" s="13"/>
      <c r="D64" s="13" t="s">
        <v>99</v>
      </c>
      <c r="E64" s="13"/>
      <c r="F64" s="24">
        <f>$N$33</f>
        <v>0</v>
      </c>
      <c r="H64" s="8"/>
      <c r="I64" s="8"/>
      <c r="J64" s="8"/>
      <c r="K64" s="8"/>
      <c r="L64">
        <f>L63*$F64</f>
        <v>0</v>
      </c>
      <c r="M64">
        <f t="shared" ref="M64" si="17">M63*$F64</f>
        <v>0</v>
      </c>
      <c r="N64">
        <f t="shared" ref="N64" si="18">N63*$F64</f>
        <v>0</v>
      </c>
      <c r="O64">
        <f t="shared" ref="O64" si="19">O63*$F64</f>
        <v>0</v>
      </c>
      <c r="P64">
        <f t="shared" ref="P64" si="20">P63*$F64</f>
        <v>0</v>
      </c>
      <c r="Q64">
        <f t="shared" ref="Q64" si="21">Q63*$F64</f>
        <v>0</v>
      </c>
      <c r="R64">
        <f t="shared" ref="R64" si="22">R63*$F64</f>
        <v>0</v>
      </c>
      <c r="S64">
        <f t="shared" ref="S64" si="23">S63*$F64</f>
        <v>0</v>
      </c>
    </row>
    <row r="65" spans="2:19" customFormat="1" x14ac:dyDescent="0.3">
      <c r="B65" s="13"/>
      <c r="C65" s="13"/>
      <c r="D65" s="13" t="s">
        <v>105</v>
      </c>
      <c r="E65" s="13"/>
      <c r="F65">
        <f>IF($K$33="Amort",1,0)</f>
        <v>0</v>
      </c>
      <c r="H65" s="8"/>
      <c r="I65" s="8"/>
      <c r="J65" s="8"/>
      <c r="K65" s="8"/>
      <c r="L65">
        <f>MIN($L63/$F61,L63)*$F65*-1</f>
        <v>0</v>
      </c>
      <c r="M65">
        <f t="shared" ref="M65:S65" si="24">MIN($L63/$F61,M63)*$F65*-1</f>
        <v>0</v>
      </c>
      <c r="N65">
        <f t="shared" si="24"/>
        <v>0</v>
      </c>
      <c r="O65">
        <f t="shared" si="24"/>
        <v>0</v>
      </c>
      <c r="P65">
        <f t="shared" si="24"/>
        <v>0</v>
      </c>
      <c r="Q65">
        <f t="shared" si="24"/>
        <v>0</v>
      </c>
      <c r="R65">
        <f t="shared" si="24"/>
        <v>0</v>
      </c>
      <c r="S65">
        <f t="shared" si="24"/>
        <v>0</v>
      </c>
    </row>
    <row r="66" spans="2:19" customFormat="1" x14ac:dyDescent="0.3">
      <c r="B66" s="13"/>
      <c r="C66" s="13"/>
      <c r="D66" s="13" t="s">
        <v>106</v>
      </c>
      <c r="E66" s="13"/>
      <c r="F66">
        <f>1-F65</f>
        <v>1</v>
      </c>
      <c r="H66" s="8"/>
      <c r="I66" s="8"/>
      <c r="J66" s="8"/>
      <c r="K66" s="8"/>
      <c r="L66">
        <f>IF($F61=L$2,SUM(L63:L64),0)*$F66*-1</f>
        <v>0</v>
      </c>
      <c r="M66">
        <f t="shared" ref="M66:S66" si="25">IF($F61=M$2,SUM(M63:M64),0)*$F66*-1</f>
        <v>0</v>
      </c>
      <c r="N66">
        <f t="shared" si="25"/>
        <v>0</v>
      </c>
      <c r="O66">
        <f t="shared" si="25"/>
        <v>0</v>
      </c>
      <c r="P66">
        <f t="shared" si="25"/>
        <v>0</v>
      </c>
      <c r="Q66">
        <f t="shared" si="25"/>
        <v>-40000</v>
      </c>
      <c r="R66">
        <f t="shared" si="25"/>
        <v>0</v>
      </c>
      <c r="S66">
        <f t="shared" si="25"/>
        <v>0</v>
      </c>
    </row>
    <row r="67" spans="2:19" customFormat="1" x14ac:dyDescent="0.3">
      <c r="B67" s="13"/>
      <c r="C67" s="13"/>
      <c r="D67" s="5" t="s">
        <v>107</v>
      </c>
      <c r="E67" s="5"/>
      <c r="F67" s="5"/>
      <c r="G67" s="5"/>
      <c r="H67" s="11"/>
      <c r="I67" s="11"/>
      <c r="J67" s="11"/>
      <c r="K67" s="53">
        <f>F33</f>
        <v>40000</v>
      </c>
      <c r="L67" s="5">
        <f>SUM(L63:L66)</f>
        <v>40000</v>
      </c>
      <c r="M67" s="5">
        <f t="shared" ref="M67" si="26">SUM(M63:M66)</f>
        <v>40000</v>
      </c>
      <c r="N67" s="5">
        <f t="shared" ref="N67" si="27">SUM(N63:N66)</f>
        <v>40000</v>
      </c>
      <c r="O67" s="5">
        <f t="shared" ref="O67" si="28">SUM(O63:O66)</f>
        <v>40000</v>
      </c>
      <c r="P67" s="5">
        <f t="shared" ref="P67" si="29">SUM(P63:P66)</f>
        <v>40000</v>
      </c>
      <c r="Q67" s="5">
        <f t="shared" ref="Q67" si="30">SUM(Q63:Q66)</f>
        <v>0</v>
      </c>
      <c r="R67" s="5">
        <f t="shared" ref="R67" si="31">SUM(R63:R66)</f>
        <v>0</v>
      </c>
      <c r="S67" s="5">
        <f t="shared" ref="S67" si="32">SUM(S63:S66)</f>
        <v>0</v>
      </c>
    </row>
    <row r="68" spans="2:19" customFormat="1" x14ac:dyDescent="0.3">
      <c r="B68" s="13"/>
      <c r="C68" s="13"/>
      <c r="D68" s="13"/>
      <c r="E68" s="13"/>
    </row>
    <row r="69" spans="2:19" customFormat="1" x14ac:dyDescent="0.3">
      <c r="B69" s="13"/>
      <c r="C69" s="13"/>
      <c r="D69" s="13" t="s">
        <v>128</v>
      </c>
      <c r="E69" s="13"/>
      <c r="F69" s="51">
        <f>$M$33</f>
        <v>4.4600000000000001E-2</v>
      </c>
      <c r="H69" s="8"/>
      <c r="I69" s="8"/>
      <c r="J69" s="8"/>
      <c r="K69" s="8"/>
      <c r="L69">
        <f>$F69*L63*-1</f>
        <v>-1784</v>
      </c>
      <c r="M69">
        <f t="shared" ref="M69:S69" si="33">$F69*M63*-1</f>
        <v>-1784</v>
      </c>
      <c r="N69">
        <f t="shared" si="33"/>
        <v>-1784</v>
      </c>
      <c r="O69">
        <f t="shared" si="33"/>
        <v>-1784</v>
      </c>
      <c r="P69">
        <f t="shared" si="33"/>
        <v>-1784</v>
      </c>
      <c r="Q69">
        <f t="shared" si="33"/>
        <v>-1784</v>
      </c>
      <c r="R69">
        <f t="shared" si="33"/>
        <v>0</v>
      </c>
      <c r="S69">
        <f t="shared" si="33"/>
        <v>0</v>
      </c>
    </row>
    <row r="70" spans="2:19" customFormat="1" ht="15" thickBot="1" x14ac:dyDescent="0.4">
      <c r="B70" s="1" t="s">
        <v>85</v>
      </c>
      <c r="C70" s="1"/>
      <c r="D70" s="1"/>
      <c r="E70" s="13"/>
    </row>
    <row r="71" spans="2:19" customFormat="1" x14ac:dyDescent="0.3">
      <c r="B71" s="13"/>
      <c r="C71" s="13"/>
      <c r="D71" s="13" t="s">
        <v>103</v>
      </c>
      <c r="E71" s="13"/>
      <c r="F71">
        <f>$J$34</f>
        <v>7</v>
      </c>
    </row>
    <row r="72" spans="2:19" customFormat="1" x14ac:dyDescent="0.3">
      <c r="B72" s="13"/>
      <c r="C72" s="13"/>
      <c r="D72" s="13"/>
      <c r="E72" s="13"/>
    </row>
    <row r="73" spans="2:19" customFormat="1" x14ac:dyDescent="0.3">
      <c r="B73" s="13"/>
      <c r="C73" s="13"/>
      <c r="D73" s="13" t="s">
        <v>104</v>
      </c>
      <c r="E73" s="13"/>
      <c r="H73" s="8"/>
      <c r="I73" s="8"/>
      <c r="J73" s="8"/>
      <c r="K73" s="8"/>
      <c r="L73" s="13">
        <f>K77</f>
        <v>10000</v>
      </c>
      <c r="M73">
        <f t="shared" ref="M73:S73" si="34">L77</f>
        <v>10000</v>
      </c>
      <c r="N73">
        <f t="shared" si="34"/>
        <v>10000</v>
      </c>
      <c r="O73">
        <f t="shared" si="34"/>
        <v>10000</v>
      </c>
      <c r="P73">
        <f t="shared" si="34"/>
        <v>10000</v>
      </c>
      <c r="Q73">
        <f t="shared" si="34"/>
        <v>10000</v>
      </c>
      <c r="R73">
        <f t="shared" si="34"/>
        <v>10000</v>
      </c>
      <c r="S73">
        <f t="shared" si="34"/>
        <v>0</v>
      </c>
    </row>
    <row r="74" spans="2:19" customFormat="1" x14ac:dyDescent="0.3">
      <c r="B74" s="13"/>
      <c r="C74" s="13"/>
      <c r="D74" s="13" t="s">
        <v>99</v>
      </c>
      <c r="E74" s="13"/>
      <c r="F74" s="24">
        <f>$N$34</f>
        <v>0</v>
      </c>
      <c r="H74" s="8"/>
      <c r="I74" s="8"/>
      <c r="J74" s="8"/>
      <c r="K74" s="8"/>
      <c r="L74">
        <f>L73*$F74</f>
        <v>0</v>
      </c>
      <c r="M74">
        <f t="shared" ref="M74" si="35">M73*$F74</f>
        <v>0</v>
      </c>
      <c r="N74">
        <f t="shared" ref="N74" si="36">N73*$F74</f>
        <v>0</v>
      </c>
      <c r="O74">
        <f t="shared" ref="O74" si="37">O73*$F74</f>
        <v>0</v>
      </c>
      <c r="P74">
        <f t="shared" ref="P74" si="38">P73*$F74</f>
        <v>0</v>
      </c>
      <c r="Q74">
        <f t="shared" ref="Q74" si="39">Q73*$F74</f>
        <v>0</v>
      </c>
      <c r="R74">
        <f t="shared" ref="R74" si="40">R73*$F74</f>
        <v>0</v>
      </c>
      <c r="S74">
        <f t="shared" ref="S74" si="41">S73*$F74</f>
        <v>0</v>
      </c>
    </row>
    <row r="75" spans="2:19" customFormat="1" x14ac:dyDescent="0.3">
      <c r="B75" s="13"/>
      <c r="C75" s="13"/>
      <c r="D75" s="13" t="s">
        <v>105</v>
      </c>
      <c r="E75" s="13"/>
      <c r="F75">
        <f>IF($K$34="Amort",1,0)</f>
        <v>0</v>
      </c>
      <c r="H75" s="8"/>
      <c r="I75" s="8"/>
      <c r="J75" s="8"/>
      <c r="K75" s="8"/>
      <c r="L75">
        <f>MIN($L73/$F71,L73)*$F75*-1</f>
        <v>0</v>
      </c>
      <c r="M75">
        <f t="shared" ref="M75:S75" si="42">MIN($L73/$F71,M73)*$F75*-1</f>
        <v>0</v>
      </c>
      <c r="N75">
        <f t="shared" si="42"/>
        <v>0</v>
      </c>
      <c r="O75">
        <f t="shared" si="42"/>
        <v>0</v>
      </c>
      <c r="P75">
        <f t="shared" si="42"/>
        <v>0</v>
      </c>
      <c r="Q75">
        <f t="shared" si="42"/>
        <v>0</v>
      </c>
      <c r="R75">
        <f t="shared" si="42"/>
        <v>0</v>
      </c>
      <c r="S75">
        <f t="shared" si="42"/>
        <v>0</v>
      </c>
    </row>
    <row r="76" spans="2:19" customFormat="1" x14ac:dyDescent="0.3">
      <c r="B76" s="13"/>
      <c r="C76" s="13"/>
      <c r="D76" s="13" t="s">
        <v>106</v>
      </c>
      <c r="E76" s="13"/>
      <c r="F76">
        <f>1-F75</f>
        <v>1</v>
      </c>
      <c r="H76" s="8"/>
      <c r="I76" s="8"/>
      <c r="J76" s="8"/>
      <c r="K76" s="8"/>
      <c r="L76">
        <f>IF($F71=L$2,SUM(L73:L74),0)*$F76*-1</f>
        <v>0</v>
      </c>
      <c r="M76">
        <f t="shared" ref="M76:S76" si="43">IF($F71=M$2,SUM(M73:M74),0)*$F76*-1</f>
        <v>0</v>
      </c>
      <c r="N76">
        <f t="shared" si="43"/>
        <v>0</v>
      </c>
      <c r="O76">
        <f t="shared" si="43"/>
        <v>0</v>
      </c>
      <c r="P76">
        <f t="shared" si="43"/>
        <v>0</v>
      </c>
      <c r="Q76">
        <f t="shared" si="43"/>
        <v>0</v>
      </c>
      <c r="R76">
        <f t="shared" si="43"/>
        <v>-10000</v>
      </c>
      <c r="S76">
        <f t="shared" si="43"/>
        <v>0</v>
      </c>
    </row>
    <row r="77" spans="2:19" customFormat="1" x14ac:dyDescent="0.3">
      <c r="B77" s="13"/>
      <c r="C77" s="13"/>
      <c r="D77" s="5" t="s">
        <v>107</v>
      </c>
      <c r="E77" s="5"/>
      <c r="F77" s="5"/>
      <c r="G77" s="5"/>
      <c r="H77" s="11"/>
      <c r="I77" s="11"/>
      <c r="J77" s="11"/>
      <c r="K77" s="53">
        <f>F34</f>
        <v>10000</v>
      </c>
      <c r="L77" s="5">
        <f>SUM(L73:L76)</f>
        <v>10000</v>
      </c>
      <c r="M77" s="5">
        <f t="shared" ref="M77" si="44">SUM(M73:M76)</f>
        <v>10000</v>
      </c>
      <c r="N77" s="5">
        <f t="shared" ref="N77" si="45">SUM(N73:N76)</f>
        <v>10000</v>
      </c>
      <c r="O77" s="5">
        <f t="shared" ref="O77" si="46">SUM(O73:O76)</f>
        <v>10000</v>
      </c>
      <c r="P77" s="5">
        <f t="shared" ref="P77" si="47">SUM(P73:P76)</f>
        <v>10000</v>
      </c>
      <c r="Q77" s="5">
        <f t="shared" ref="Q77" si="48">SUM(Q73:Q76)</f>
        <v>10000</v>
      </c>
      <c r="R77" s="5">
        <f t="shared" ref="R77" si="49">SUM(R73:R76)</f>
        <v>0</v>
      </c>
      <c r="S77" s="5">
        <f t="shared" ref="S77" si="50">SUM(S73:S76)</f>
        <v>0</v>
      </c>
    </row>
    <row r="78" spans="2:19" customFormat="1" x14ac:dyDescent="0.3">
      <c r="B78" s="13"/>
      <c r="C78" s="13"/>
      <c r="D78" s="13"/>
      <c r="E78" s="13"/>
    </row>
    <row r="79" spans="2:19" customFormat="1" x14ac:dyDescent="0.3">
      <c r="B79" s="13"/>
      <c r="C79" s="13"/>
      <c r="D79" s="13" t="s">
        <v>127</v>
      </c>
      <c r="E79" s="13"/>
      <c r="F79" s="51">
        <f>$M$34</f>
        <v>5.96E-2</v>
      </c>
      <c r="H79" s="8"/>
      <c r="I79" s="8"/>
      <c r="J79" s="8"/>
      <c r="K79" s="8"/>
      <c r="L79">
        <f>$F79*L73*-1</f>
        <v>-596</v>
      </c>
      <c r="M79">
        <f t="shared" ref="M79:S79" si="51">$F79*M73*-1</f>
        <v>-596</v>
      </c>
      <c r="N79">
        <f t="shared" si="51"/>
        <v>-596</v>
      </c>
      <c r="O79">
        <f t="shared" si="51"/>
        <v>-596</v>
      </c>
      <c r="P79">
        <f t="shared" si="51"/>
        <v>-596</v>
      </c>
      <c r="Q79">
        <f t="shared" si="51"/>
        <v>-596</v>
      </c>
      <c r="R79">
        <f t="shared" si="51"/>
        <v>-596</v>
      </c>
      <c r="S79">
        <f t="shared" si="51"/>
        <v>0</v>
      </c>
    </row>
    <row r="80" spans="2:19" customFormat="1" ht="15" thickBot="1" x14ac:dyDescent="0.4">
      <c r="B80" s="1" t="s">
        <v>124</v>
      </c>
      <c r="C80" s="1"/>
      <c r="D80" s="1"/>
      <c r="E80" s="13"/>
    </row>
    <row r="81" spans="2:19" customFormat="1" x14ac:dyDescent="0.3">
      <c r="B81" s="13"/>
      <c r="C81" s="13"/>
      <c r="D81" s="13" t="s">
        <v>103</v>
      </c>
      <c r="E81" s="13"/>
      <c r="F81">
        <f>$J$35</f>
        <v>8</v>
      </c>
    </row>
    <row r="82" spans="2:19" customFormat="1" x14ac:dyDescent="0.3">
      <c r="B82" s="13"/>
      <c r="C82" s="13"/>
      <c r="D82" s="13"/>
      <c r="E82" s="13"/>
    </row>
    <row r="83" spans="2:19" customFormat="1" x14ac:dyDescent="0.3">
      <c r="B83" s="13"/>
      <c r="C83" s="13"/>
      <c r="D83" s="13" t="s">
        <v>104</v>
      </c>
      <c r="E83" s="13"/>
      <c r="H83" s="8"/>
      <c r="I83" s="8"/>
      <c r="J83" s="8"/>
      <c r="K83" s="8"/>
      <c r="L83" s="13">
        <f>K87</f>
        <v>70000</v>
      </c>
      <c r="M83">
        <f t="shared" ref="M83:S83" si="52">L87</f>
        <v>72800</v>
      </c>
      <c r="N83">
        <f t="shared" si="52"/>
        <v>75712</v>
      </c>
      <c r="O83">
        <f t="shared" si="52"/>
        <v>78740.479999999996</v>
      </c>
      <c r="P83">
        <f t="shared" si="52"/>
        <v>81890.099199999997</v>
      </c>
      <c r="Q83">
        <f t="shared" si="52"/>
        <v>85165.703167999993</v>
      </c>
      <c r="R83">
        <f t="shared" si="52"/>
        <v>88572.331294719988</v>
      </c>
      <c r="S83">
        <f t="shared" si="52"/>
        <v>92115.224546508791</v>
      </c>
    </row>
    <row r="84" spans="2:19" customFormat="1" x14ac:dyDescent="0.3">
      <c r="B84" s="13"/>
      <c r="C84" s="13"/>
      <c r="D84" s="13" t="s">
        <v>99</v>
      </c>
      <c r="E84" s="13"/>
      <c r="F84" s="24">
        <f>$N$35</f>
        <v>0.04</v>
      </c>
      <c r="H84" s="8"/>
      <c r="I84" s="8"/>
      <c r="J84" s="8"/>
      <c r="K84" s="8"/>
      <c r="L84">
        <f>L83*$F84</f>
        <v>2800</v>
      </c>
      <c r="M84">
        <f t="shared" ref="M84" si="53">M83*$F84</f>
        <v>2912</v>
      </c>
      <c r="N84">
        <f t="shared" ref="N84" si="54">N83*$F84</f>
        <v>3028.48</v>
      </c>
      <c r="O84">
        <f t="shared" ref="O84" si="55">O83*$F84</f>
        <v>3149.6192000000001</v>
      </c>
      <c r="P84">
        <f t="shared" ref="P84" si="56">P83*$F84</f>
        <v>3275.6039679999999</v>
      </c>
      <c r="Q84">
        <f t="shared" ref="Q84" si="57">Q83*$F84</f>
        <v>3406.6281267199997</v>
      </c>
      <c r="R84">
        <f t="shared" ref="R84" si="58">R83*$F84</f>
        <v>3542.8932517887997</v>
      </c>
      <c r="S84">
        <f t="shared" ref="S84" si="59">S83*$F84</f>
        <v>3684.6089818603518</v>
      </c>
    </row>
    <row r="85" spans="2:19" customFormat="1" x14ac:dyDescent="0.3">
      <c r="B85" s="13"/>
      <c r="C85" s="13"/>
      <c r="D85" s="13" t="s">
        <v>105</v>
      </c>
      <c r="E85" s="13"/>
      <c r="F85">
        <f>IF($K$35="Amort",1,0)</f>
        <v>0</v>
      </c>
      <c r="H85" s="8"/>
      <c r="I85" s="8"/>
      <c r="J85" s="8"/>
      <c r="K85" s="8"/>
      <c r="L85">
        <f>MIN($L83/$F81,L83)*$F85*-1</f>
        <v>0</v>
      </c>
      <c r="M85">
        <f t="shared" ref="M85:S85" si="60">MIN($L83/$F81,M83)*$F85*-1</f>
        <v>0</v>
      </c>
      <c r="N85">
        <f t="shared" si="60"/>
        <v>0</v>
      </c>
      <c r="O85">
        <f t="shared" si="60"/>
        <v>0</v>
      </c>
      <c r="P85">
        <f t="shared" si="60"/>
        <v>0</v>
      </c>
      <c r="Q85">
        <f t="shared" si="60"/>
        <v>0</v>
      </c>
      <c r="R85">
        <f t="shared" si="60"/>
        <v>0</v>
      </c>
      <c r="S85">
        <f t="shared" si="60"/>
        <v>0</v>
      </c>
    </row>
    <row r="86" spans="2:19" customFormat="1" x14ac:dyDescent="0.3">
      <c r="B86" s="13"/>
      <c r="C86" s="13"/>
      <c r="D86" s="13" t="s">
        <v>106</v>
      </c>
      <c r="E86" s="13"/>
      <c r="F86">
        <f>1-F85</f>
        <v>1</v>
      </c>
      <c r="H86" s="8"/>
      <c r="I86" s="8"/>
      <c r="J86" s="8"/>
      <c r="K86" s="8"/>
      <c r="L86">
        <f>IF($F81=L$2,SUM(L83:L84),0)*$F86*-1</f>
        <v>0</v>
      </c>
      <c r="M86">
        <f t="shared" ref="M86:S86" si="61">IF($F81=M$2,SUM(M83:M84),0)*$F86*-1</f>
        <v>0</v>
      </c>
      <c r="N86">
        <f t="shared" si="61"/>
        <v>0</v>
      </c>
      <c r="O86">
        <f t="shared" si="61"/>
        <v>0</v>
      </c>
      <c r="P86">
        <f t="shared" si="61"/>
        <v>0</v>
      </c>
      <c r="Q86">
        <f t="shared" si="61"/>
        <v>0</v>
      </c>
      <c r="R86">
        <f t="shared" si="61"/>
        <v>0</v>
      </c>
      <c r="S86">
        <f t="shared" si="61"/>
        <v>-95799.833528369141</v>
      </c>
    </row>
    <row r="87" spans="2:19" customFormat="1" x14ac:dyDescent="0.3">
      <c r="B87" s="13"/>
      <c r="C87" s="13"/>
      <c r="D87" s="5" t="s">
        <v>107</v>
      </c>
      <c r="E87" s="5"/>
      <c r="F87" s="5"/>
      <c r="G87" s="5"/>
      <c r="H87" s="11"/>
      <c r="I87" s="11"/>
      <c r="J87" s="11"/>
      <c r="K87" s="53">
        <f>F35</f>
        <v>70000</v>
      </c>
      <c r="L87" s="5">
        <f>SUM(L83:L86)</f>
        <v>72800</v>
      </c>
      <c r="M87" s="5">
        <f t="shared" ref="M87" si="62">SUM(M83:M86)</f>
        <v>75712</v>
      </c>
      <c r="N87" s="5">
        <f t="shared" ref="N87" si="63">SUM(N83:N86)</f>
        <v>78740.479999999996</v>
      </c>
      <c r="O87" s="5">
        <f t="shared" ref="O87" si="64">SUM(O83:O86)</f>
        <v>81890.099199999997</v>
      </c>
      <c r="P87" s="5">
        <f t="shared" ref="P87" si="65">SUM(P83:P86)</f>
        <v>85165.703167999993</v>
      </c>
      <c r="Q87" s="5">
        <f t="shared" ref="Q87" si="66">SUM(Q83:Q86)</f>
        <v>88572.331294719988</v>
      </c>
      <c r="R87" s="5">
        <f t="shared" ref="R87" si="67">SUM(R83:R86)</f>
        <v>92115.224546508791</v>
      </c>
      <c r="S87" s="5">
        <f t="shared" ref="S87" si="68">SUM(S83:S86)</f>
        <v>0</v>
      </c>
    </row>
    <row r="88" spans="2:19" customFormat="1" x14ac:dyDescent="0.3">
      <c r="B88" s="13"/>
      <c r="C88" s="13"/>
      <c r="D88" s="13"/>
      <c r="E88" s="13"/>
    </row>
    <row r="89" spans="2:19" customFormat="1" x14ac:dyDescent="0.3">
      <c r="B89" s="13"/>
      <c r="C89" s="13"/>
      <c r="D89" s="13" t="s">
        <v>126</v>
      </c>
      <c r="E89" s="13"/>
      <c r="F89" s="51">
        <f>$M$35</f>
        <v>3.9600000000000003E-2</v>
      </c>
      <c r="H89" s="8"/>
      <c r="I89" s="8"/>
      <c r="J89" s="8"/>
      <c r="K89" s="8"/>
      <c r="L89">
        <f>$F89*L83*-1</f>
        <v>-2772.0000000000005</v>
      </c>
      <c r="M89">
        <f t="shared" ref="M89:S89" si="69">$F89*M83*-1</f>
        <v>-2882.88</v>
      </c>
      <c r="N89">
        <f t="shared" si="69"/>
        <v>-2998.1952000000001</v>
      </c>
      <c r="O89">
        <f t="shared" si="69"/>
        <v>-3118.123008</v>
      </c>
      <c r="P89">
        <f t="shared" si="69"/>
        <v>-3242.8479283199999</v>
      </c>
      <c r="Q89">
        <f t="shared" si="69"/>
        <v>-3372.5618454527998</v>
      </c>
      <c r="R89">
        <f t="shared" si="69"/>
        <v>-3507.4643192709118</v>
      </c>
      <c r="S89">
        <f t="shared" si="69"/>
        <v>-3647.7628920417483</v>
      </c>
    </row>
    <row r="90" spans="2:19" customFormat="1" x14ac:dyDescent="0.3"/>
    <row r="91" spans="2:19" customFormat="1" ht="15" thickBot="1" x14ac:dyDescent="0.4">
      <c r="C91" s="1" t="s">
        <v>9</v>
      </c>
      <c r="D91" s="1"/>
    </row>
    <row r="92" spans="2:19" customFormat="1" x14ac:dyDescent="0.3">
      <c r="D92" t="s">
        <v>104</v>
      </c>
      <c r="H92" s="8"/>
      <c r="I92" s="8"/>
      <c r="J92" s="8"/>
      <c r="K92" s="8"/>
      <c r="L92">
        <f>L83+L73+L63+L52</f>
        <v>250000</v>
      </c>
      <c r="M92">
        <f t="shared" ref="M92:S92" si="70">M83+M73+M63+M52</f>
        <v>226800</v>
      </c>
      <c r="N92">
        <f t="shared" si="70"/>
        <v>203712</v>
      </c>
      <c r="O92">
        <f t="shared" si="70"/>
        <v>180740.47999999998</v>
      </c>
      <c r="P92">
        <f t="shared" si="70"/>
        <v>157890.0992</v>
      </c>
      <c r="Q92">
        <f t="shared" si="70"/>
        <v>135165.70316799998</v>
      </c>
      <c r="R92">
        <f t="shared" si="70"/>
        <v>98572.331294719988</v>
      </c>
      <c r="S92">
        <f t="shared" si="70"/>
        <v>92115.224546508791</v>
      </c>
    </row>
    <row r="93" spans="2:19" customFormat="1" x14ac:dyDescent="0.3">
      <c r="D93" t="s">
        <v>99</v>
      </c>
      <c r="H93" s="8"/>
      <c r="I93" s="8"/>
      <c r="J93" s="8"/>
      <c r="K93" s="8"/>
      <c r="L93">
        <f t="shared" ref="L93:S93" si="71">L84+L74+L64+L53</f>
        <v>2800</v>
      </c>
      <c r="M93">
        <f t="shared" si="71"/>
        <v>2912</v>
      </c>
      <c r="N93">
        <f t="shared" si="71"/>
        <v>3028.48</v>
      </c>
      <c r="O93">
        <f t="shared" si="71"/>
        <v>3149.6192000000001</v>
      </c>
      <c r="P93">
        <f t="shared" si="71"/>
        <v>3275.6039679999999</v>
      </c>
      <c r="Q93">
        <f t="shared" si="71"/>
        <v>3406.6281267199997</v>
      </c>
      <c r="R93">
        <f t="shared" si="71"/>
        <v>3542.8932517887997</v>
      </c>
      <c r="S93">
        <f t="shared" si="71"/>
        <v>3684.6089818603518</v>
      </c>
    </row>
    <row r="94" spans="2:19" customFormat="1" x14ac:dyDescent="0.3">
      <c r="D94" t="s">
        <v>105</v>
      </c>
      <c r="H94" s="8"/>
      <c r="I94" s="8"/>
      <c r="J94" s="8"/>
      <c r="K94" s="8"/>
      <c r="L94">
        <f t="shared" ref="L94:S94" si="72">L85+L75+L65+L54</f>
        <v>-26000</v>
      </c>
      <c r="M94">
        <f t="shared" si="72"/>
        <v>-26000</v>
      </c>
      <c r="N94">
        <f t="shared" si="72"/>
        <v>-26000</v>
      </c>
      <c r="O94">
        <f t="shared" si="72"/>
        <v>-26000</v>
      </c>
      <c r="P94">
        <f t="shared" si="72"/>
        <v>-26000</v>
      </c>
      <c r="Q94">
        <f t="shared" si="72"/>
        <v>0</v>
      </c>
      <c r="R94">
        <f t="shared" si="72"/>
        <v>0</v>
      </c>
      <c r="S94">
        <f t="shared" si="72"/>
        <v>0</v>
      </c>
    </row>
    <row r="95" spans="2:19" customFormat="1" x14ac:dyDescent="0.3">
      <c r="D95" t="s">
        <v>106</v>
      </c>
      <c r="H95" s="8"/>
      <c r="I95" s="8"/>
      <c r="J95" s="8"/>
      <c r="K95" s="8"/>
      <c r="L95">
        <f t="shared" ref="L95:S95" si="73">L86+L76+L66+L55</f>
        <v>0</v>
      </c>
      <c r="M95">
        <f t="shared" si="73"/>
        <v>0</v>
      </c>
      <c r="N95">
        <f t="shared" si="73"/>
        <v>0</v>
      </c>
      <c r="O95">
        <f t="shared" si="73"/>
        <v>0</v>
      </c>
      <c r="P95">
        <f t="shared" si="73"/>
        <v>0</v>
      </c>
      <c r="Q95">
        <f t="shared" si="73"/>
        <v>-40000</v>
      </c>
      <c r="R95">
        <f t="shared" si="73"/>
        <v>-10000</v>
      </c>
      <c r="S95">
        <f t="shared" si="73"/>
        <v>-95799.833528369141</v>
      </c>
    </row>
    <row r="96" spans="2:19" customFormat="1" x14ac:dyDescent="0.3">
      <c r="D96" s="5" t="s">
        <v>107</v>
      </c>
      <c r="E96" s="5"/>
      <c r="F96" s="5"/>
      <c r="G96" s="5"/>
      <c r="H96" s="11"/>
      <c r="I96" s="11"/>
      <c r="J96" s="11"/>
      <c r="K96" s="53">
        <f>K87+K77+K67+K56</f>
        <v>250000</v>
      </c>
      <c r="L96" s="5">
        <f>SUM(L92:L95)</f>
        <v>226800</v>
      </c>
      <c r="M96" s="5">
        <f t="shared" ref="M96" si="74">SUM(M92:M95)</f>
        <v>203712</v>
      </c>
      <c r="N96" s="5">
        <f t="shared" ref="N96" si="75">SUM(N92:N95)</f>
        <v>180740.48000000001</v>
      </c>
      <c r="O96" s="5">
        <f t="shared" ref="O96" si="76">SUM(O92:O95)</f>
        <v>157890.09919999997</v>
      </c>
      <c r="P96" s="5">
        <f t="shared" ref="P96" si="77">SUM(P92:P95)</f>
        <v>135165.70316800001</v>
      </c>
      <c r="Q96" s="5">
        <f t="shared" ref="Q96" si="78">SUM(Q92:Q95)</f>
        <v>98572.331294719974</v>
      </c>
      <c r="R96" s="5">
        <f t="shared" ref="R96" si="79">SUM(R92:R95)</f>
        <v>92115.224546508791</v>
      </c>
      <c r="S96" s="5">
        <f t="shared" ref="S96" si="80">SUM(S92:S95)</f>
        <v>0</v>
      </c>
    </row>
    <row r="97" spans="1:23" customFormat="1" x14ac:dyDescent="0.3"/>
    <row r="98" spans="1:23" customFormat="1" x14ac:dyDescent="0.3">
      <c r="D98" t="s">
        <v>9</v>
      </c>
      <c r="H98" s="8"/>
      <c r="I98" s="8"/>
      <c r="J98" s="8"/>
      <c r="K98" s="8"/>
      <c r="L98" s="64"/>
      <c r="M98" s="64"/>
      <c r="N98" s="64"/>
      <c r="O98" s="64"/>
      <c r="P98" s="64"/>
      <c r="Q98" s="64"/>
      <c r="R98" s="64"/>
      <c r="S98" s="64"/>
    </row>
    <row r="99" spans="1:23" customFormat="1" x14ac:dyDescent="0.3">
      <c r="D99" t="s">
        <v>133</v>
      </c>
      <c r="H99" s="8"/>
      <c r="I99" s="8"/>
      <c r="J99" s="8"/>
      <c r="K99" s="8"/>
      <c r="L99" s="64"/>
      <c r="M99" s="64"/>
      <c r="N99" s="64"/>
      <c r="O99" s="64"/>
      <c r="P99" s="64"/>
      <c r="Q99" s="64"/>
      <c r="R99" s="64"/>
      <c r="S99" s="64"/>
    </row>
    <row r="100" spans="1:23" customFormat="1" x14ac:dyDescent="0.3">
      <c r="D100" t="s">
        <v>125</v>
      </c>
      <c r="H100" s="8"/>
      <c r="I100" s="8"/>
      <c r="J100" s="8"/>
      <c r="K100" s="8"/>
      <c r="L100" s="64"/>
      <c r="M100" s="64"/>
      <c r="N100" s="64"/>
      <c r="O100" s="64"/>
      <c r="P100" s="64"/>
      <c r="Q100" s="64"/>
      <c r="R100" s="64"/>
      <c r="S100" s="64"/>
    </row>
    <row r="101" spans="1:23" customFormat="1" x14ac:dyDescent="0.3"/>
    <row r="102" spans="1:23" customFormat="1" x14ac:dyDescent="0.3">
      <c r="D102" t="s">
        <v>130</v>
      </c>
      <c r="H102" s="8"/>
      <c r="I102" s="8"/>
      <c r="J102" s="8"/>
      <c r="K102" s="8"/>
      <c r="L102" s="64"/>
      <c r="M102" s="64"/>
      <c r="N102" s="64"/>
      <c r="O102" s="64"/>
      <c r="P102" s="64"/>
      <c r="Q102" s="64"/>
      <c r="R102" s="64"/>
      <c r="S102" s="64"/>
    </row>
    <row r="103" spans="1:23" customFormat="1" x14ac:dyDescent="0.3"/>
    <row r="104" spans="1:23" s="3" customFormat="1" ht="15.5" x14ac:dyDescent="0.35">
      <c r="A104" s="3" t="s">
        <v>64</v>
      </c>
      <c r="T104"/>
    </row>
    <row r="105" spans="1:23" customFormat="1" x14ac:dyDescent="0.3">
      <c r="A105" s="13"/>
      <c r="B105" s="13"/>
      <c r="C105" s="13"/>
      <c r="D105" s="13" t="s">
        <v>13</v>
      </c>
      <c r="E105" s="13"/>
      <c r="F105" s="13"/>
      <c r="G105" s="13"/>
      <c r="H105" s="8"/>
      <c r="I105" s="8"/>
      <c r="J105" s="8"/>
      <c r="K105" s="13">
        <f t="shared" ref="K105" si="81">K151</f>
        <v>47415.161754968023</v>
      </c>
      <c r="L105" s="65">
        <f t="shared" ref="L105:S105" si="82">L151</f>
        <v>49418.337838736348</v>
      </c>
      <c r="M105" s="65">
        <f t="shared" si="82"/>
        <v>51411.064291303192</v>
      </c>
      <c r="N105" s="65">
        <f t="shared" si="82"/>
        <v>53385.231882247899</v>
      </c>
      <c r="O105" s="65">
        <f t="shared" si="82"/>
        <v>55332.495917189059</v>
      </c>
      <c r="P105" s="65">
        <f t="shared" si="82"/>
        <v>57244.330509228945</v>
      </c>
      <c r="Q105" s="65">
        <f t="shared" si="82"/>
        <v>59112.086886105491</v>
      </c>
      <c r="R105" s="65">
        <f t="shared" si="82"/>
        <v>60927.055230461527</v>
      </c>
      <c r="S105" s="65">
        <f t="shared" si="82"/>
        <v>62680.529481827311</v>
      </c>
      <c r="U105" s="13"/>
      <c r="V105" s="13"/>
      <c r="W105" s="13"/>
    </row>
    <row r="106" spans="1:23" customFormat="1" x14ac:dyDescent="0.3">
      <c r="A106" s="13"/>
      <c r="B106" s="13"/>
      <c r="C106" s="13"/>
      <c r="D106" s="13" t="s">
        <v>49</v>
      </c>
      <c r="E106" s="13"/>
      <c r="F106" s="13"/>
      <c r="G106" s="13"/>
      <c r="H106" s="8"/>
      <c r="I106" s="8"/>
      <c r="J106" s="8"/>
      <c r="K106" s="13">
        <f t="shared" ref="K106" si="83">SUM(K156:K157)</f>
        <v>-11442.267430900536</v>
      </c>
      <c r="L106" s="65">
        <f t="shared" ref="L106:S106" si="84">SUM(L156:L157)</f>
        <v>-11366.204605007737</v>
      </c>
      <c r="M106" s="65">
        <f t="shared" si="84"/>
        <v>-11241.129478352104</v>
      </c>
      <c r="N106" s="65">
        <f t="shared" si="84"/>
        <v>-11065.552497502253</v>
      </c>
      <c r="O106" s="65">
        <f t="shared" si="84"/>
        <v>-10838.30871668408</v>
      </c>
      <c r="P106" s="65">
        <f t="shared" si="84"/>
        <v>-10558.583453417068</v>
      </c>
      <c r="Q106" s="65">
        <f t="shared" si="84"/>
        <v>-10225.935023161557</v>
      </c>
      <c r="R106" s="65">
        <f t="shared" si="84"/>
        <v>-9840.3141174132361</v>
      </c>
      <c r="S106" s="65">
        <f t="shared" si="84"/>
        <v>-9402.0794222740969</v>
      </c>
      <c r="U106" s="13"/>
      <c r="V106" s="13"/>
      <c r="W106" s="13"/>
    </row>
    <row r="107" spans="1:23" customFormat="1" x14ac:dyDescent="0.3">
      <c r="A107" s="13"/>
      <c r="B107" s="13"/>
      <c r="C107" s="13"/>
      <c r="D107" s="13" t="s">
        <v>65</v>
      </c>
      <c r="E107" s="13"/>
      <c r="F107" s="13"/>
      <c r="G107" s="13"/>
      <c r="H107" s="8"/>
      <c r="I107" s="8"/>
      <c r="J107" s="8"/>
      <c r="K107" s="13">
        <f t="shared" ref="K107" si="85">K166</f>
        <v>-1694.2929469508745</v>
      </c>
      <c r="L107" s="65">
        <f t="shared" ref="L107:S107" si="86">L166</f>
        <v>-1722.3439287816218</v>
      </c>
      <c r="M107" s="65">
        <f t="shared" si="86"/>
        <v>-1745.0079183548114</v>
      </c>
      <c r="N107" s="65">
        <f t="shared" si="86"/>
        <v>-1761.8570182842341</v>
      </c>
      <c r="O107" s="65">
        <f t="shared" si="86"/>
        <v>-1772.4868591446248</v>
      </c>
      <c r="P107" s="65">
        <f t="shared" si="86"/>
        <v>-1776.5218978913799</v>
      </c>
      <c r="Q107" s="65">
        <f t="shared" si="86"/>
        <v>-1773.6206529344199</v>
      </c>
      <c r="R107" s="65">
        <f t="shared" si="86"/>
        <v>-1763.4807994767216</v>
      </c>
      <c r="S107" s="65">
        <f t="shared" si="86"/>
        <v>-1745.8440469302877</v>
      </c>
      <c r="U107" s="13"/>
      <c r="V107" s="13"/>
      <c r="W107" s="13"/>
    </row>
    <row r="108" spans="1:23" customFormat="1" x14ac:dyDescent="0.3">
      <c r="A108" s="13"/>
      <c r="B108" s="13"/>
      <c r="C108" s="13"/>
      <c r="D108" s="13" t="s">
        <v>66</v>
      </c>
      <c r="E108" s="13"/>
      <c r="F108" s="13"/>
      <c r="G108" s="13"/>
      <c r="H108" s="8"/>
      <c r="I108" s="8"/>
      <c r="J108" s="8"/>
      <c r="K108" s="8"/>
      <c r="L108" s="66">
        <f>L58</f>
        <v>-5148</v>
      </c>
      <c r="M108" s="65">
        <f t="shared" ref="M108:S108" si="87">M58</f>
        <v>-4118.4000000000005</v>
      </c>
      <c r="N108" s="65">
        <f t="shared" si="87"/>
        <v>-3088.8</v>
      </c>
      <c r="O108" s="65">
        <f t="shared" si="87"/>
        <v>-2059.2000000000003</v>
      </c>
      <c r="P108" s="65">
        <f t="shared" si="87"/>
        <v>-1029.6000000000001</v>
      </c>
      <c r="Q108" s="65">
        <f t="shared" si="87"/>
        <v>0</v>
      </c>
      <c r="R108" s="65">
        <f t="shared" si="87"/>
        <v>0</v>
      </c>
      <c r="S108" s="65">
        <f t="shared" si="87"/>
        <v>0</v>
      </c>
      <c r="U108" s="13"/>
      <c r="V108" s="13"/>
      <c r="W108" s="13"/>
    </row>
    <row r="109" spans="1:23" customFormat="1" x14ac:dyDescent="0.3">
      <c r="A109" s="13"/>
      <c r="B109" s="13"/>
      <c r="C109" s="13"/>
      <c r="D109" s="13" t="s">
        <v>67</v>
      </c>
      <c r="E109" s="13"/>
      <c r="F109" s="13"/>
      <c r="G109" s="13"/>
      <c r="H109" s="8"/>
      <c r="I109" s="8"/>
      <c r="J109" s="8"/>
      <c r="K109" s="8"/>
      <c r="L109" s="66">
        <f>L69</f>
        <v>-1784</v>
      </c>
      <c r="M109" s="65">
        <f t="shared" ref="M109:S109" si="88">M69</f>
        <v>-1784</v>
      </c>
      <c r="N109" s="65">
        <f t="shared" si="88"/>
        <v>-1784</v>
      </c>
      <c r="O109" s="65">
        <f t="shared" si="88"/>
        <v>-1784</v>
      </c>
      <c r="P109" s="65">
        <f t="shared" si="88"/>
        <v>-1784</v>
      </c>
      <c r="Q109" s="65">
        <f t="shared" si="88"/>
        <v>-1784</v>
      </c>
      <c r="R109" s="65">
        <f t="shared" si="88"/>
        <v>0</v>
      </c>
      <c r="S109" s="65">
        <f t="shared" si="88"/>
        <v>0</v>
      </c>
      <c r="U109" s="13"/>
      <c r="V109" s="13"/>
      <c r="W109" s="13"/>
    </row>
    <row r="110" spans="1:23" customFormat="1" x14ac:dyDescent="0.3">
      <c r="A110" s="13"/>
      <c r="B110" s="13"/>
      <c r="C110" s="13"/>
      <c r="D110" s="13" t="s">
        <v>68</v>
      </c>
      <c r="E110" s="13"/>
      <c r="F110" s="13"/>
      <c r="G110" s="13"/>
      <c r="H110" s="8"/>
      <c r="I110" s="8"/>
      <c r="J110" s="8"/>
      <c r="K110" s="8"/>
      <c r="L110" s="66">
        <f>L79</f>
        <v>-596</v>
      </c>
      <c r="M110" s="65">
        <f t="shared" ref="M110:S110" si="89">M79</f>
        <v>-596</v>
      </c>
      <c r="N110" s="65">
        <f t="shared" si="89"/>
        <v>-596</v>
      </c>
      <c r="O110" s="65">
        <f t="shared" si="89"/>
        <v>-596</v>
      </c>
      <c r="P110" s="65">
        <f t="shared" si="89"/>
        <v>-596</v>
      </c>
      <c r="Q110" s="65">
        <f t="shared" si="89"/>
        <v>-596</v>
      </c>
      <c r="R110" s="65">
        <f t="shared" si="89"/>
        <v>-596</v>
      </c>
      <c r="S110" s="65">
        <f t="shared" si="89"/>
        <v>0</v>
      </c>
      <c r="U110" s="13"/>
      <c r="V110" s="13"/>
      <c r="W110" s="13"/>
    </row>
    <row r="111" spans="1:23" customFormat="1" x14ac:dyDescent="0.3">
      <c r="A111" s="13"/>
      <c r="B111" s="13"/>
      <c r="C111" s="13"/>
      <c r="D111" s="13" t="s">
        <v>69</v>
      </c>
      <c r="E111" s="13"/>
      <c r="F111" s="13"/>
      <c r="G111" s="13"/>
      <c r="H111" s="8"/>
      <c r="I111" s="8"/>
      <c r="J111" s="8"/>
      <c r="K111" s="8"/>
      <c r="L111" s="66">
        <f>L89</f>
        <v>-2772.0000000000005</v>
      </c>
      <c r="M111" s="65">
        <f t="shared" ref="M111:S111" si="90">M89</f>
        <v>-2882.88</v>
      </c>
      <c r="N111" s="65">
        <f t="shared" si="90"/>
        <v>-2998.1952000000001</v>
      </c>
      <c r="O111" s="65">
        <f t="shared" si="90"/>
        <v>-3118.123008</v>
      </c>
      <c r="P111" s="65">
        <f t="shared" si="90"/>
        <v>-3242.8479283199999</v>
      </c>
      <c r="Q111" s="65">
        <f t="shared" si="90"/>
        <v>-3372.5618454527998</v>
      </c>
      <c r="R111" s="65">
        <f t="shared" si="90"/>
        <v>-3507.4643192709118</v>
      </c>
      <c r="S111" s="65">
        <f t="shared" si="90"/>
        <v>-3647.7628920417483</v>
      </c>
      <c r="U111" s="13"/>
      <c r="V111" s="13"/>
      <c r="W111" s="13"/>
    </row>
    <row r="112" spans="1:23" customFormat="1" x14ac:dyDescent="0.3">
      <c r="A112" s="13"/>
      <c r="B112" s="13"/>
      <c r="C112" s="13"/>
      <c r="D112" s="13" t="s">
        <v>70</v>
      </c>
      <c r="E112" s="13"/>
      <c r="F112" s="13"/>
      <c r="G112" s="13"/>
      <c r="H112" s="8"/>
      <c r="I112" s="8"/>
      <c r="J112" s="8"/>
      <c r="K112" s="8"/>
      <c r="L112" s="66"/>
      <c r="M112" s="65"/>
      <c r="N112" s="65"/>
      <c r="O112" s="65"/>
      <c r="P112" s="65"/>
      <c r="Q112" s="65"/>
      <c r="R112" s="65"/>
      <c r="S112" s="65"/>
      <c r="U112" s="13"/>
      <c r="V112" s="13"/>
      <c r="W112" s="13"/>
    </row>
    <row r="113" spans="1:23" customFormat="1" x14ac:dyDescent="0.3">
      <c r="A113" s="13"/>
      <c r="B113" s="13"/>
      <c r="C113" s="13"/>
      <c r="D113" s="13" t="s">
        <v>71</v>
      </c>
      <c r="E113" s="13"/>
      <c r="F113" s="13"/>
      <c r="G113" s="13"/>
      <c r="H113" s="8"/>
      <c r="I113" s="8"/>
      <c r="J113" s="8"/>
      <c r="K113" s="13"/>
      <c r="L113" s="65">
        <f>(L154+SUM(L108:L112))*L180*-1</f>
        <v>-3591.6492376496985</v>
      </c>
      <c r="M113" s="65">
        <f t="shared" ref="M113:S113" si="91">(M154+SUM(M108:M112))*M180*-1</f>
        <v>-4090.0473602203074</v>
      </c>
      <c r="N113" s="65">
        <f t="shared" si="91"/>
        <v>-4593.68321429976</v>
      </c>
      <c r="O113" s="65">
        <f t="shared" si="91"/>
        <v>-5100.8798969578656</v>
      </c>
      <c r="P113" s="65">
        <f t="shared" si="91"/>
        <v>-5609.8490467737975</v>
      </c>
      <c r="Q113" s="65">
        <f t="shared" si="91"/>
        <v>-6118.7026952450633</v>
      </c>
      <c r="R113" s="65">
        <f t="shared" si="91"/>
        <v>-6732.601451766639</v>
      </c>
      <c r="S113" s="65">
        <f t="shared" si="91"/>
        <v>-7173.6499095942363</v>
      </c>
      <c r="U113" s="13"/>
      <c r="V113" s="13"/>
      <c r="W113" s="13"/>
    </row>
    <row r="114" spans="1:23" customFormat="1" x14ac:dyDescent="0.3">
      <c r="A114" s="13"/>
      <c r="B114" s="13"/>
      <c r="C114" s="5" t="s">
        <v>64</v>
      </c>
      <c r="D114" s="5"/>
      <c r="E114" s="5"/>
      <c r="F114" s="5"/>
      <c r="G114" s="46"/>
      <c r="H114" s="11"/>
      <c r="I114" s="11"/>
      <c r="J114" s="11"/>
      <c r="K114" s="5"/>
      <c r="L114" s="67">
        <f>SUM(L105:L113)</f>
        <v>22438.140067297296</v>
      </c>
      <c r="M114" s="67">
        <f t="shared" ref="M114:S114" si="92">SUM(M105:M113)</f>
        <v>24953.599534375971</v>
      </c>
      <c r="N114" s="67">
        <f t="shared" si="92"/>
        <v>27497.143952161641</v>
      </c>
      <c r="O114" s="67">
        <f t="shared" si="92"/>
        <v>30063.497436402489</v>
      </c>
      <c r="P114" s="67">
        <f t="shared" si="92"/>
        <v>32646.928182826709</v>
      </c>
      <c r="Q114" s="67">
        <f t="shared" si="92"/>
        <v>35241.266669311655</v>
      </c>
      <c r="R114" s="67">
        <f t="shared" si="92"/>
        <v>38487.194542534024</v>
      </c>
      <c r="S114" s="67">
        <f t="shared" si="92"/>
        <v>40711.193210986945</v>
      </c>
      <c r="U114" s="13"/>
      <c r="V114" s="13"/>
      <c r="W114" s="13"/>
    </row>
    <row r="115" spans="1:23" customFormat="1" x14ac:dyDescent="0.3">
      <c r="A115" s="13"/>
      <c r="B115" s="13"/>
      <c r="C115" s="13"/>
      <c r="D115" s="13" t="s">
        <v>72</v>
      </c>
      <c r="E115" s="13"/>
      <c r="F115" s="13"/>
      <c r="G115" s="13"/>
      <c r="H115" s="8"/>
      <c r="I115" s="8"/>
      <c r="J115" s="8"/>
      <c r="K115" s="8"/>
      <c r="L115" s="13">
        <f>SUM(L54:L55)</f>
        <v>-26000</v>
      </c>
      <c r="M115" s="13">
        <f t="shared" ref="M115:S115" si="93">SUM(M54:M55)</f>
        <v>-26000</v>
      </c>
      <c r="N115" s="13">
        <f t="shared" si="93"/>
        <v>-26000</v>
      </c>
      <c r="O115" s="13">
        <f t="shared" si="93"/>
        <v>-26000</v>
      </c>
      <c r="P115" s="13">
        <f t="shared" si="93"/>
        <v>-26000</v>
      </c>
      <c r="Q115" s="13">
        <f t="shared" si="93"/>
        <v>0</v>
      </c>
      <c r="R115" s="13">
        <f t="shared" si="93"/>
        <v>0</v>
      </c>
      <c r="S115" s="13">
        <f t="shared" si="93"/>
        <v>0</v>
      </c>
      <c r="U115" s="13"/>
      <c r="V115" s="13"/>
      <c r="W115" s="13"/>
    </row>
    <row r="116" spans="1:23" customFormat="1" x14ac:dyDescent="0.3">
      <c r="A116" s="13"/>
      <c r="B116" s="13"/>
      <c r="C116" s="13"/>
      <c r="D116" s="13" t="s">
        <v>73</v>
      </c>
      <c r="E116" s="13"/>
      <c r="F116" s="13"/>
      <c r="G116" s="13"/>
      <c r="H116" s="8"/>
      <c r="I116" s="8"/>
      <c r="J116" s="8"/>
      <c r="K116" s="8"/>
      <c r="L116" s="13">
        <f>SUM(L65:L66)</f>
        <v>0</v>
      </c>
      <c r="M116" s="13">
        <f t="shared" ref="M116:S116" si="94">SUM(M65:M66)</f>
        <v>0</v>
      </c>
      <c r="N116" s="13">
        <f t="shared" si="94"/>
        <v>0</v>
      </c>
      <c r="O116" s="13">
        <f t="shared" si="94"/>
        <v>0</v>
      </c>
      <c r="P116" s="13">
        <f t="shared" si="94"/>
        <v>0</v>
      </c>
      <c r="Q116" s="13">
        <f t="shared" si="94"/>
        <v>-40000</v>
      </c>
      <c r="R116" s="13">
        <f t="shared" si="94"/>
        <v>0</v>
      </c>
      <c r="S116" s="13">
        <f t="shared" si="94"/>
        <v>0</v>
      </c>
      <c r="U116" s="13"/>
      <c r="V116" s="13"/>
      <c r="W116" s="13"/>
    </row>
    <row r="117" spans="1:23" customFormat="1" x14ac:dyDescent="0.3">
      <c r="A117" s="13"/>
      <c r="B117" s="13"/>
      <c r="C117" s="13"/>
      <c r="D117" s="13" t="s">
        <v>74</v>
      </c>
      <c r="E117" s="13"/>
      <c r="F117" s="13"/>
      <c r="G117" s="13"/>
      <c r="H117" s="8"/>
      <c r="I117" s="8"/>
      <c r="J117" s="8"/>
      <c r="K117" s="8"/>
      <c r="L117" s="13">
        <f>SUM(L75:L76)</f>
        <v>0</v>
      </c>
      <c r="M117" s="13">
        <f t="shared" ref="M117:S117" si="95">SUM(M75:M76)</f>
        <v>0</v>
      </c>
      <c r="N117" s="13">
        <f t="shared" si="95"/>
        <v>0</v>
      </c>
      <c r="O117" s="13">
        <f t="shared" si="95"/>
        <v>0</v>
      </c>
      <c r="P117" s="13">
        <f t="shared" si="95"/>
        <v>0</v>
      </c>
      <c r="Q117" s="13">
        <f t="shared" si="95"/>
        <v>0</v>
      </c>
      <c r="R117" s="13">
        <f t="shared" si="95"/>
        <v>-10000</v>
      </c>
      <c r="S117" s="13">
        <f t="shared" si="95"/>
        <v>0</v>
      </c>
      <c r="U117" s="13"/>
      <c r="V117" s="13"/>
      <c r="W117" s="13"/>
    </row>
    <row r="118" spans="1:23" customFormat="1" x14ac:dyDescent="0.3">
      <c r="A118" s="13"/>
      <c r="B118" s="13"/>
      <c r="C118" s="13"/>
      <c r="D118" s="13" t="s">
        <v>75</v>
      </c>
      <c r="E118" s="13"/>
      <c r="F118" s="13"/>
      <c r="G118" s="13"/>
      <c r="H118" s="8"/>
      <c r="I118" s="8"/>
      <c r="J118" s="8"/>
      <c r="K118" s="8"/>
      <c r="L118" s="13">
        <f>SUM(L85:L86)</f>
        <v>0</v>
      </c>
      <c r="M118" s="13">
        <f t="shared" ref="M118:S118" si="96">SUM(M85:M86)</f>
        <v>0</v>
      </c>
      <c r="N118" s="13">
        <f t="shared" si="96"/>
        <v>0</v>
      </c>
      <c r="O118" s="13">
        <f t="shared" si="96"/>
        <v>0</v>
      </c>
      <c r="P118" s="13">
        <f t="shared" si="96"/>
        <v>0</v>
      </c>
      <c r="Q118" s="13">
        <f t="shared" si="96"/>
        <v>0</v>
      </c>
      <c r="R118" s="13">
        <f t="shared" si="96"/>
        <v>0</v>
      </c>
      <c r="S118" s="13">
        <f t="shared" si="96"/>
        <v>-95799.833528369141</v>
      </c>
      <c r="U118" s="13"/>
      <c r="V118" s="13"/>
      <c r="W118" s="13"/>
    </row>
    <row r="119" spans="1:23" customFormat="1" x14ac:dyDescent="0.3">
      <c r="A119" s="13"/>
      <c r="B119" s="13"/>
      <c r="C119" s="5" t="s">
        <v>76</v>
      </c>
      <c r="D119" s="5"/>
      <c r="E119" s="5"/>
      <c r="F119" s="5"/>
      <c r="G119" s="46"/>
      <c r="H119" s="11"/>
      <c r="I119" s="11"/>
      <c r="J119" s="11"/>
      <c r="K119" s="5"/>
      <c r="L119" s="5">
        <f>SUM(L114:L118)</f>
        <v>-3561.8599327027041</v>
      </c>
      <c r="M119" s="5">
        <f t="shared" ref="M119:S119" si="97">SUM(M114:M118)</f>
        <v>-1046.4004656240286</v>
      </c>
      <c r="N119" s="5">
        <f t="shared" si="97"/>
        <v>1497.1439521616412</v>
      </c>
      <c r="O119" s="5">
        <f t="shared" si="97"/>
        <v>4063.4974364024893</v>
      </c>
      <c r="P119" s="5">
        <f t="shared" si="97"/>
        <v>6646.9281828267085</v>
      </c>
      <c r="Q119" s="5">
        <f t="shared" si="97"/>
        <v>-4758.7333306883447</v>
      </c>
      <c r="R119" s="5">
        <f t="shared" si="97"/>
        <v>28487.194542534024</v>
      </c>
      <c r="S119" s="5">
        <f t="shared" si="97"/>
        <v>-55088.640317382196</v>
      </c>
      <c r="U119" s="13"/>
      <c r="V119" s="13"/>
      <c r="W119" s="13"/>
    </row>
    <row r="120" spans="1:23" customFormat="1" x14ac:dyDescent="0.3">
      <c r="A120" s="13"/>
      <c r="B120" s="13"/>
      <c r="C120" s="13"/>
      <c r="D120" s="13" t="s">
        <v>78</v>
      </c>
      <c r="E120" s="13"/>
      <c r="F120" s="13"/>
      <c r="G120" s="13"/>
      <c r="H120" s="8"/>
      <c r="I120" s="8"/>
      <c r="J120" s="8"/>
      <c r="K120" s="8"/>
      <c r="L120" s="13"/>
      <c r="M120" s="13"/>
      <c r="N120" s="13"/>
      <c r="O120" s="13"/>
      <c r="P120" s="13"/>
      <c r="Q120" s="13"/>
      <c r="R120" s="13"/>
      <c r="S120" s="13"/>
      <c r="U120" s="13"/>
      <c r="V120" s="13"/>
      <c r="W120" s="13"/>
    </row>
    <row r="121" spans="1:23" customFormat="1" x14ac:dyDescent="0.3">
      <c r="A121" s="13"/>
      <c r="B121" s="13"/>
      <c r="C121" s="13"/>
      <c r="D121" s="13" t="s">
        <v>79</v>
      </c>
      <c r="E121" s="13"/>
      <c r="F121" s="13"/>
      <c r="G121" s="13"/>
      <c r="H121" s="8"/>
      <c r="I121" s="8"/>
      <c r="J121" s="8"/>
      <c r="K121" s="8"/>
      <c r="L121" s="13"/>
      <c r="M121" s="13"/>
      <c r="N121" s="13"/>
      <c r="O121" s="13"/>
      <c r="P121" s="13"/>
      <c r="Q121" s="13"/>
      <c r="R121" s="13"/>
      <c r="S121" s="13"/>
      <c r="U121" s="13"/>
      <c r="V121" s="13"/>
      <c r="W121" s="13"/>
    </row>
    <row r="122" spans="1:23" customFormat="1" x14ac:dyDescent="0.3">
      <c r="A122" s="13"/>
      <c r="B122" s="13"/>
      <c r="C122" s="5" t="s">
        <v>77</v>
      </c>
      <c r="D122" s="5"/>
      <c r="E122" s="5"/>
      <c r="F122" s="5"/>
      <c r="G122" s="46"/>
      <c r="H122" s="11"/>
      <c r="I122" s="11"/>
      <c r="J122" s="11"/>
      <c r="K122" s="11"/>
      <c r="L122" s="5"/>
      <c r="M122" s="5"/>
      <c r="N122" s="5"/>
      <c r="O122" s="5"/>
      <c r="P122" s="5"/>
      <c r="Q122" s="5"/>
      <c r="R122" s="5"/>
      <c r="S122" s="5"/>
      <c r="U122" s="13"/>
      <c r="V122" s="13"/>
      <c r="W122" s="13"/>
    </row>
    <row r="123" spans="1:23" customForma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U123" s="13"/>
      <c r="V123" s="13"/>
      <c r="W123" s="13"/>
    </row>
    <row r="124" spans="1:23" customFormat="1" ht="15.5" x14ac:dyDescent="0.35">
      <c r="A124" s="3" t="s">
        <v>109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U124" s="13"/>
      <c r="V124" s="13"/>
      <c r="W124" s="13"/>
    </row>
    <row r="125" spans="1:23" customFormat="1" ht="15" thickBot="1" x14ac:dyDescent="0.4">
      <c r="A125" s="13"/>
      <c r="B125" s="1" t="s">
        <v>110</v>
      </c>
      <c r="C125" s="1"/>
      <c r="D125" s="1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U125" s="13"/>
      <c r="V125" s="13"/>
      <c r="W125" s="13"/>
    </row>
    <row r="126" spans="1:23" customFormat="1" x14ac:dyDescent="0.3">
      <c r="A126" s="13"/>
      <c r="B126" s="13"/>
      <c r="C126" s="13"/>
      <c r="D126" s="13" t="s">
        <v>104</v>
      </c>
      <c r="E126" s="13"/>
      <c r="F126" s="13"/>
      <c r="G126" s="13"/>
      <c r="H126" s="8"/>
      <c r="I126" s="8"/>
      <c r="J126" s="8"/>
      <c r="K126" s="8"/>
      <c r="L126" s="13"/>
      <c r="M126" s="13"/>
      <c r="N126" s="13"/>
      <c r="O126" s="13"/>
      <c r="P126" s="13"/>
      <c r="Q126" s="13"/>
      <c r="R126" s="13"/>
      <c r="S126" s="13"/>
      <c r="U126" s="13"/>
      <c r="V126" s="13"/>
      <c r="W126" s="13"/>
    </row>
    <row r="127" spans="1:23" customFormat="1" x14ac:dyDescent="0.3">
      <c r="A127" s="13"/>
      <c r="B127" s="13"/>
      <c r="C127" s="13"/>
      <c r="D127" s="13" t="s">
        <v>77</v>
      </c>
      <c r="E127" s="13"/>
      <c r="F127" s="13"/>
      <c r="G127" s="13"/>
      <c r="H127" s="8"/>
      <c r="I127" s="8"/>
      <c r="J127" s="8"/>
      <c r="K127" s="8"/>
      <c r="L127" s="13"/>
      <c r="M127" s="13"/>
      <c r="N127" s="13"/>
      <c r="O127" s="13"/>
      <c r="P127" s="13"/>
      <c r="Q127" s="13"/>
      <c r="R127" s="13"/>
      <c r="S127" s="13"/>
      <c r="U127" s="13"/>
      <c r="V127" s="13"/>
      <c r="W127" s="13"/>
    </row>
    <row r="128" spans="1:23" customFormat="1" x14ac:dyDescent="0.3">
      <c r="A128" s="13"/>
      <c r="B128" s="13"/>
      <c r="C128" s="13"/>
      <c r="D128" s="5" t="s">
        <v>107</v>
      </c>
      <c r="E128" s="5"/>
      <c r="F128" s="5"/>
      <c r="G128" s="46"/>
      <c r="H128" s="11"/>
      <c r="I128" s="11"/>
      <c r="J128" s="11"/>
      <c r="K128" s="53"/>
      <c r="L128" s="5"/>
      <c r="M128" s="5"/>
      <c r="N128" s="5"/>
      <c r="O128" s="5"/>
      <c r="P128" s="5"/>
      <c r="Q128" s="5"/>
      <c r="R128" s="5"/>
      <c r="S128" s="5"/>
      <c r="U128" s="13"/>
      <c r="V128" s="13"/>
      <c r="W128" s="13"/>
    </row>
    <row r="129" spans="1:23" customForma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U129" s="13"/>
      <c r="V129" s="13"/>
      <c r="W129" s="13"/>
    </row>
    <row r="130" spans="1:23" customFormat="1" ht="15" thickBot="1" x14ac:dyDescent="0.4">
      <c r="A130" s="13"/>
      <c r="B130" s="1" t="s">
        <v>111</v>
      </c>
      <c r="C130" s="1"/>
      <c r="D130" s="1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U130" s="13"/>
      <c r="V130" s="13"/>
      <c r="W130" s="13"/>
    </row>
    <row r="131" spans="1:23" customFormat="1" x14ac:dyDescent="0.3">
      <c r="A131" s="13"/>
      <c r="B131" s="13"/>
      <c r="C131" s="13"/>
      <c r="D131" s="13" t="s">
        <v>104</v>
      </c>
      <c r="E131" s="13"/>
      <c r="F131" s="13"/>
      <c r="G131" s="13"/>
      <c r="H131" s="8"/>
      <c r="I131" s="8"/>
      <c r="J131" s="8"/>
      <c r="K131" s="8"/>
      <c r="L131" s="6"/>
      <c r="M131" s="13"/>
      <c r="N131" s="13"/>
      <c r="O131" s="13"/>
      <c r="P131" s="13"/>
      <c r="Q131" s="13"/>
      <c r="R131" s="13"/>
      <c r="S131" s="13"/>
      <c r="U131" s="13"/>
      <c r="V131" s="13"/>
      <c r="W131" s="13"/>
    </row>
    <row r="132" spans="1:23" customFormat="1" x14ac:dyDescent="0.3">
      <c r="A132" s="13"/>
      <c r="B132" s="13"/>
      <c r="C132" s="13"/>
      <c r="D132" s="13" t="s">
        <v>78</v>
      </c>
      <c r="E132" s="13"/>
      <c r="F132" s="13"/>
      <c r="G132" s="13"/>
      <c r="H132" s="8"/>
      <c r="I132" s="8"/>
      <c r="J132" s="8"/>
      <c r="K132" s="8"/>
      <c r="L132" s="13"/>
      <c r="M132" s="13"/>
      <c r="N132" s="13"/>
      <c r="O132" s="13"/>
      <c r="P132" s="13"/>
      <c r="Q132" s="13"/>
      <c r="R132" s="13"/>
      <c r="S132" s="13"/>
      <c r="U132" s="13"/>
      <c r="V132" s="13"/>
      <c r="W132" s="13"/>
    </row>
    <row r="133" spans="1:23" customFormat="1" x14ac:dyDescent="0.3">
      <c r="A133" s="13"/>
      <c r="B133" s="13"/>
      <c r="C133" s="13"/>
      <c r="D133" s="13" t="s">
        <v>79</v>
      </c>
      <c r="E133" s="13"/>
      <c r="F133" s="13"/>
      <c r="G133" s="13"/>
      <c r="H133" s="8"/>
      <c r="I133" s="8"/>
      <c r="J133" s="8"/>
      <c r="K133" s="8"/>
      <c r="L133" s="13"/>
      <c r="M133" s="13"/>
      <c r="N133" s="13"/>
      <c r="O133" s="13"/>
      <c r="P133" s="13"/>
      <c r="Q133" s="13"/>
      <c r="R133" s="13"/>
      <c r="S133" s="13"/>
      <c r="U133" s="13"/>
      <c r="V133" s="13"/>
      <c r="W133" s="13"/>
    </row>
    <row r="134" spans="1:23" customFormat="1" x14ac:dyDescent="0.3">
      <c r="A134" s="13"/>
      <c r="B134" s="13"/>
      <c r="C134" s="13"/>
      <c r="D134" s="5" t="s">
        <v>107</v>
      </c>
      <c r="E134" s="5"/>
      <c r="F134" s="5"/>
      <c r="G134" s="46"/>
      <c r="H134" s="11"/>
      <c r="I134" s="11"/>
      <c r="J134" s="11"/>
      <c r="K134" s="11"/>
      <c r="L134" s="5"/>
      <c r="M134" s="5"/>
      <c r="N134" s="5"/>
      <c r="O134" s="5"/>
      <c r="P134" s="5"/>
      <c r="Q134" s="5"/>
      <c r="R134" s="5"/>
      <c r="S134" s="5"/>
      <c r="U134" s="13"/>
      <c r="V134" s="13"/>
      <c r="W134" s="13"/>
    </row>
    <row r="135" spans="1:23" customForma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U135" s="13"/>
      <c r="V135" s="13"/>
      <c r="W135" s="13"/>
    </row>
    <row r="136" spans="1:23" customFormat="1" x14ac:dyDescent="0.3">
      <c r="A136" s="13"/>
      <c r="B136" s="13"/>
      <c r="C136" s="13"/>
      <c r="D136" s="13" t="s">
        <v>70</v>
      </c>
      <c r="E136" s="13"/>
      <c r="F136" s="21"/>
      <c r="G136" s="13"/>
      <c r="H136" s="8"/>
      <c r="I136" s="8"/>
      <c r="J136" s="8"/>
      <c r="K136" s="8"/>
      <c r="L136" s="13"/>
      <c r="M136" s="13"/>
      <c r="N136" s="13"/>
      <c r="O136" s="13"/>
      <c r="P136" s="13"/>
      <c r="Q136" s="13"/>
      <c r="R136" s="13"/>
      <c r="S136" s="13"/>
      <c r="U136" s="13"/>
      <c r="V136" s="13"/>
      <c r="W136" s="13"/>
    </row>
    <row r="137" spans="1:23" customFormat="1" x14ac:dyDescent="0.3">
      <c r="A137" s="13"/>
      <c r="B137" s="13"/>
      <c r="C137" s="13"/>
      <c r="D137" s="13" t="s">
        <v>129</v>
      </c>
      <c r="E137" s="13"/>
      <c r="F137" s="6"/>
      <c r="G137" s="13"/>
      <c r="H137" s="8"/>
      <c r="I137" s="8"/>
      <c r="J137" s="8"/>
      <c r="K137" s="8"/>
      <c r="L137" s="13"/>
      <c r="M137" s="13"/>
      <c r="N137" s="13"/>
      <c r="O137" s="13"/>
      <c r="P137" s="13"/>
      <c r="Q137" s="13"/>
      <c r="R137" s="13"/>
      <c r="S137" s="13"/>
      <c r="U137" s="13"/>
      <c r="V137" s="13"/>
      <c r="W137" s="13"/>
    </row>
    <row r="138" spans="1:23" customForma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U138" s="13"/>
      <c r="V138" s="13"/>
      <c r="W138" s="13"/>
    </row>
    <row r="139" spans="1:23" customFormat="1" ht="15" thickBot="1" x14ac:dyDescent="0.4">
      <c r="A139" s="13"/>
      <c r="B139" s="1" t="s">
        <v>112</v>
      </c>
      <c r="C139" s="1"/>
      <c r="D139" s="1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U139" s="13"/>
      <c r="V139" s="13"/>
      <c r="W139" s="13"/>
    </row>
    <row r="140" spans="1:23" customFormat="1" x14ac:dyDescent="0.3">
      <c r="A140" s="13"/>
      <c r="B140" s="13"/>
      <c r="C140" s="13"/>
      <c r="D140" s="13" t="s">
        <v>13</v>
      </c>
      <c r="E140" s="13"/>
      <c r="F140" s="13"/>
      <c r="G140" s="13"/>
      <c r="H140" s="8"/>
      <c r="I140" s="8"/>
      <c r="J140" s="8"/>
      <c r="K140" s="8"/>
      <c r="L140" s="13"/>
      <c r="M140" s="13"/>
      <c r="N140" s="13"/>
      <c r="O140" s="13"/>
      <c r="P140" s="13"/>
      <c r="Q140" s="13"/>
      <c r="R140" s="13"/>
      <c r="S140" s="13"/>
      <c r="U140" s="13"/>
      <c r="V140" s="13"/>
      <c r="W140" s="13"/>
    </row>
    <row r="141" spans="1:23" customFormat="1" x14ac:dyDescent="0.3">
      <c r="A141" s="13"/>
      <c r="B141" s="13"/>
      <c r="C141" s="13"/>
      <c r="D141" s="13" t="s">
        <v>91</v>
      </c>
      <c r="E141" s="13"/>
      <c r="F141" s="21"/>
      <c r="G141" s="13"/>
      <c r="H141" s="8"/>
      <c r="I141" s="8"/>
      <c r="J141" s="8"/>
      <c r="K141" s="8"/>
      <c r="L141" s="13"/>
      <c r="M141" s="13"/>
      <c r="N141" s="13"/>
      <c r="O141" s="13"/>
      <c r="P141" s="13"/>
      <c r="Q141" s="13"/>
      <c r="R141" s="13"/>
      <c r="S141" s="13"/>
      <c r="U141" s="13"/>
      <c r="V141" s="13"/>
      <c r="W141" s="13"/>
    </row>
    <row r="142" spans="1:23" customFormat="1" x14ac:dyDescent="0.3">
      <c r="A142" s="13"/>
      <c r="B142" s="13"/>
      <c r="C142" s="13"/>
      <c r="D142" s="13" t="s">
        <v>76</v>
      </c>
      <c r="E142" s="13"/>
      <c r="F142" s="13"/>
      <c r="G142" s="13"/>
      <c r="H142" s="8"/>
      <c r="I142" s="8"/>
      <c r="J142" s="8"/>
      <c r="K142" s="8"/>
      <c r="L142" s="13"/>
      <c r="M142" s="13"/>
      <c r="N142" s="13"/>
      <c r="O142" s="13"/>
      <c r="P142" s="13"/>
      <c r="Q142" s="13"/>
      <c r="R142" s="13"/>
      <c r="S142" s="13"/>
      <c r="U142" s="13"/>
      <c r="V142" s="13"/>
      <c r="W142" s="13"/>
    </row>
    <row r="143" spans="1:23" customFormat="1" x14ac:dyDescent="0.3">
      <c r="A143" s="13"/>
      <c r="B143" s="13"/>
      <c r="C143" s="13"/>
      <c r="D143" s="13" t="s">
        <v>113</v>
      </c>
      <c r="E143" s="13"/>
      <c r="F143" s="13"/>
      <c r="G143" s="13"/>
      <c r="H143" s="8"/>
      <c r="I143" s="8"/>
      <c r="J143" s="8"/>
      <c r="K143" s="8"/>
      <c r="L143" s="13"/>
      <c r="M143" s="13"/>
      <c r="N143" s="13"/>
      <c r="O143" s="13"/>
      <c r="P143" s="13"/>
      <c r="Q143" s="13"/>
      <c r="R143" s="13"/>
      <c r="S143" s="13"/>
      <c r="U143" s="13"/>
      <c r="V143" s="13"/>
      <c r="W143" s="13"/>
    </row>
    <row r="144" spans="1:23" customFormat="1" x14ac:dyDescent="0.3">
      <c r="A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U144" s="13"/>
      <c r="V144" s="13"/>
      <c r="W144" s="13"/>
    </row>
    <row r="145" spans="1:23" customFormat="1" x14ac:dyDescent="0.3">
      <c r="A145" s="13"/>
      <c r="B145" s="13"/>
      <c r="C145" s="13"/>
      <c r="D145" s="13" t="s">
        <v>78</v>
      </c>
      <c r="E145" s="13"/>
      <c r="F145" s="13"/>
      <c r="G145" s="13"/>
      <c r="H145" s="8"/>
      <c r="I145" s="8"/>
      <c r="J145" s="8"/>
      <c r="K145" s="8"/>
      <c r="L145" s="13"/>
      <c r="M145" s="13"/>
      <c r="N145" s="13"/>
      <c r="O145" s="13"/>
      <c r="P145" s="13"/>
      <c r="Q145" s="13"/>
      <c r="R145" s="13"/>
      <c r="S145" s="13"/>
      <c r="U145" s="13"/>
      <c r="V145" s="13"/>
      <c r="W145" s="13"/>
    </row>
    <row r="146" spans="1:23" customFormat="1" x14ac:dyDescent="0.3">
      <c r="A146" s="13"/>
      <c r="B146" s="13"/>
      <c r="C146" s="13"/>
      <c r="D146" s="13" t="s">
        <v>79</v>
      </c>
      <c r="E146" s="13"/>
      <c r="F146" s="13"/>
      <c r="G146" s="13"/>
      <c r="H146" s="8"/>
      <c r="I146" s="8"/>
      <c r="J146" s="8"/>
      <c r="K146" s="8"/>
      <c r="L146" s="13"/>
      <c r="M146" s="13"/>
      <c r="N146" s="13"/>
      <c r="O146" s="13"/>
      <c r="P146" s="13"/>
      <c r="Q146" s="13"/>
      <c r="R146" s="13"/>
      <c r="S146" s="13"/>
      <c r="U146" s="13"/>
      <c r="V146" s="13"/>
      <c r="W146" s="13"/>
    </row>
    <row r="147" spans="1:23" customForma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U147" s="13"/>
      <c r="V147" s="13"/>
      <c r="W147" s="13"/>
    </row>
    <row r="148" spans="1:23" customFormat="1" ht="15.5" x14ac:dyDescent="0.35">
      <c r="A148" s="3" t="s">
        <v>24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U148" s="13"/>
      <c r="V148" s="13"/>
      <c r="W148" s="13"/>
    </row>
    <row r="149" spans="1:23" customFormat="1" x14ac:dyDescent="0.3">
      <c r="A149" s="13"/>
      <c r="B149" s="13"/>
      <c r="C149" s="13"/>
      <c r="D149" s="13" t="s">
        <v>4</v>
      </c>
      <c r="E149" s="13"/>
      <c r="F149" s="13"/>
      <c r="G149" s="13"/>
      <c r="H149" s="6">
        <f>(148085741)/1000</f>
        <v>148085.74100000001</v>
      </c>
      <c r="I149" s="6">
        <f>(142998827)/1000</f>
        <v>142998.82699999999</v>
      </c>
      <c r="J149" s="6">
        <f>(149765968)/1000</f>
        <v>149765.96799999999</v>
      </c>
      <c r="K149">
        <f>J149*(1+K178)</f>
        <v>156565.08368794079</v>
      </c>
      <c r="L149">
        <f t="shared" ref="L149:S149" si="98">K149*(1+L178)</f>
        <v>163371.51355074087</v>
      </c>
      <c r="M149">
        <f t="shared" si="98"/>
        <v>170159.38782995124</v>
      </c>
      <c r="N149">
        <f t="shared" si="98"/>
        <v>176901.76947132213</v>
      </c>
      <c r="O149">
        <f t="shared" si="98"/>
        <v>183570.8130634235</v>
      </c>
      <c r="P149">
        <f t="shared" si="98"/>
        <v>190137.93973375903</v>
      </c>
      <c r="Q149">
        <f t="shared" si="98"/>
        <v>196574.02670699288</v>
      </c>
      <c r="R149">
        <f t="shared" si="98"/>
        <v>202849.60997355118</v>
      </c>
      <c r="S149">
        <f t="shared" si="98"/>
        <v>208935.09827275772</v>
      </c>
      <c r="U149" s="13"/>
      <c r="V149" s="13"/>
      <c r="W149" s="13"/>
    </row>
    <row r="150" spans="1:23" customFormat="1" x14ac:dyDescent="0.3">
      <c r="A150" s="13"/>
      <c r="B150" s="13"/>
      <c r="C150" s="13"/>
      <c r="D150" s="13" t="s">
        <v>25</v>
      </c>
      <c r="E150" s="13"/>
      <c r="F150" s="13"/>
      <c r="G150" s="13"/>
      <c r="H150" s="13">
        <f>H151-H149</f>
        <v>-103853.728</v>
      </c>
      <c r="I150" s="13">
        <f t="shared" ref="I150:S150" si="99">I151-I149</f>
        <v>-100237.73799999998</v>
      </c>
      <c r="J150" s="13">
        <f t="shared" si="99"/>
        <v>-104356.60799999999</v>
      </c>
      <c r="K150" s="13">
        <f t="shared" si="99"/>
        <v>-109149.92193297276</v>
      </c>
      <c r="L150" s="13">
        <f t="shared" si="99"/>
        <v>-113953.17571200452</v>
      </c>
      <c r="M150" s="13">
        <f t="shared" si="99"/>
        <v>-118748.32353864805</v>
      </c>
      <c r="N150" s="13">
        <f t="shared" si="99"/>
        <v>-123516.53758907423</v>
      </c>
      <c r="O150" s="13">
        <f t="shared" si="99"/>
        <v>-128238.31714623445</v>
      </c>
      <c r="P150" s="13">
        <f t="shared" si="99"/>
        <v>-132893.60922453008</v>
      </c>
      <c r="Q150" s="13">
        <f t="shared" si="99"/>
        <v>-137461.9398208874</v>
      </c>
      <c r="R150" s="13">
        <f t="shared" si="99"/>
        <v>-141922.55474308965</v>
      </c>
      <c r="S150" s="13">
        <f t="shared" si="99"/>
        <v>-146254.56879093041</v>
      </c>
      <c r="U150" s="13"/>
      <c r="V150" s="13"/>
      <c r="W150" s="13"/>
    </row>
    <row r="151" spans="1:23" customFormat="1" x14ac:dyDescent="0.3">
      <c r="A151" s="13"/>
      <c r="B151" s="13"/>
      <c r="C151" s="26" t="s">
        <v>13</v>
      </c>
      <c r="D151" s="26"/>
      <c r="E151" s="26"/>
      <c r="F151" s="26"/>
      <c r="G151" s="26"/>
      <c r="H151" s="26">
        <f>H154-SUM(H152:H153)</f>
        <v>44232.013000000006</v>
      </c>
      <c r="I151" s="26">
        <f>I154-SUM(I152:I153)</f>
        <v>42761.089000000007</v>
      </c>
      <c r="J151" s="32">
        <f>J154-SUM(J152:J153)</f>
        <v>45409.36</v>
      </c>
      <c r="K151" s="56">
        <f>K149*K179</f>
        <v>47415.161754968023</v>
      </c>
      <c r="L151" s="26">
        <f t="shared" ref="L151:S151" si="100">L149*L179</f>
        <v>49418.337838736348</v>
      </c>
      <c r="M151" s="26">
        <f t="shared" si="100"/>
        <v>51411.064291303192</v>
      </c>
      <c r="N151" s="26">
        <f t="shared" si="100"/>
        <v>53385.231882247899</v>
      </c>
      <c r="O151" s="26">
        <f t="shared" si="100"/>
        <v>55332.495917189059</v>
      </c>
      <c r="P151" s="26">
        <f t="shared" si="100"/>
        <v>57244.330509228945</v>
      </c>
      <c r="Q151" s="26">
        <f t="shared" si="100"/>
        <v>59112.086886105491</v>
      </c>
      <c r="R151" s="26">
        <f t="shared" si="100"/>
        <v>60927.055230461527</v>
      </c>
      <c r="S151" s="26">
        <f t="shared" si="100"/>
        <v>62680.529481827311</v>
      </c>
      <c r="U151" s="13"/>
      <c r="V151" s="13"/>
      <c r="W151" s="13"/>
    </row>
    <row r="152" spans="1:23" customFormat="1" x14ac:dyDescent="0.3">
      <c r="A152" s="13"/>
      <c r="B152" s="13"/>
      <c r="C152" s="13"/>
      <c r="D152" s="13" t="s">
        <v>7</v>
      </c>
      <c r="E152" s="13"/>
      <c r="F152" s="13"/>
      <c r="G152" s="13"/>
      <c r="H152" s="19">
        <f>(13758244*-1)/1000</f>
        <v>-13758.244000000001</v>
      </c>
      <c r="I152" s="6">
        <f>(-13863879)/1000</f>
        <v>-13863.879000000001</v>
      </c>
      <c r="J152" s="6">
        <f>(-13928217)/1000</f>
        <v>-13928.217000000001</v>
      </c>
      <c r="K152">
        <f>K156*K183</f>
        <v>-13381.729672657882</v>
      </c>
      <c r="L152">
        <f t="shared" ref="L152:S153" si="101">L156*L183</f>
        <v>-12782.270835225791</v>
      </c>
      <c r="M152">
        <f t="shared" si="101"/>
        <v>-12133.941659129283</v>
      </c>
      <c r="N152">
        <f t="shared" si="101"/>
        <v>-11441.473708279002</v>
      </c>
      <c r="O152">
        <f t="shared" si="101"/>
        <v>-10710.194669239278</v>
      </c>
      <c r="P152">
        <f t="shared" si="101"/>
        <v>-9945.9843753668119</v>
      </c>
      <c r="Q152">
        <f t="shared" si="101"/>
        <v>-9155.2214217763194</v>
      </c>
      <c r="R152">
        <f t="shared" si="101"/>
        <v>-8344.7208473609917</v>
      </c>
      <c r="S152">
        <f t="shared" si="101"/>
        <v>-7521.6635378192777</v>
      </c>
      <c r="U152" s="13"/>
      <c r="V152" s="13"/>
      <c r="W152" s="13"/>
    </row>
    <row r="153" spans="1:23" customFormat="1" x14ac:dyDescent="0.3">
      <c r="A153" s="13"/>
      <c r="B153" s="13"/>
      <c r="C153" s="13"/>
      <c r="D153" s="13" t="s">
        <v>8</v>
      </c>
      <c r="E153" s="13"/>
      <c r="F153" s="13"/>
      <c r="G153" s="13"/>
      <c r="H153" s="6">
        <v>-1173.8330000000001</v>
      </c>
      <c r="I153" s="6">
        <f>(-837247)/1000</f>
        <v>-837.24699999999996</v>
      </c>
      <c r="J153" s="6">
        <f>(-919153)/1000</f>
        <v>-919.15300000000002</v>
      </c>
      <c r="K153">
        <f>K157*K184</f>
        <v>-995.20860578023655</v>
      </c>
      <c r="L153">
        <f t="shared" si="101"/>
        <v>-1059.0432566442985</v>
      </c>
      <c r="M153">
        <f t="shared" si="101"/>
        <v>-1108.5850588403132</v>
      </c>
      <c r="N153">
        <f t="shared" si="101"/>
        <v>-1141.7574241149739</v>
      </c>
      <c r="O153">
        <f t="shared" si="101"/>
        <v>-1156.5050427009285</v>
      </c>
      <c r="P153">
        <f t="shared" si="101"/>
        <v>-1150.8212113356765</v>
      </c>
      <c r="Q153">
        <f t="shared" si="101"/>
        <v>-1122.7761592694944</v>
      </c>
      <c r="R153">
        <f t="shared" si="101"/>
        <v>-1070.5459766573354</v>
      </c>
      <c r="S153">
        <f t="shared" si="101"/>
        <v>-992.44171679559906</v>
      </c>
      <c r="U153" s="13"/>
      <c r="V153" s="13"/>
      <c r="W153" s="13"/>
    </row>
    <row r="154" spans="1:23" customFormat="1" x14ac:dyDescent="0.3">
      <c r="A154" s="13"/>
      <c r="B154" s="13"/>
      <c r="C154" s="26" t="s">
        <v>26</v>
      </c>
      <c r="D154" s="26"/>
      <c r="E154" s="26"/>
      <c r="F154" s="26"/>
      <c r="G154" s="26"/>
      <c r="H154" s="34">
        <f>(H171)</f>
        <v>29299.936000000002</v>
      </c>
      <c r="I154" s="34">
        <f>(I171)</f>
        <v>28059.963000000003</v>
      </c>
      <c r="J154" s="35">
        <f>(J171)</f>
        <v>30561.989999999998</v>
      </c>
      <c r="K154" s="9">
        <f>SUM(K151:K153)</f>
        <v>33038.223476529907</v>
      </c>
      <c r="L154" s="9">
        <f t="shared" ref="L154:S154" si="102">SUM(L151:L153)</f>
        <v>35577.02374686626</v>
      </c>
      <c r="M154" s="9">
        <f t="shared" si="102"/>
        <v>38168.537573333597</v>
      </c>
      <c r="N154" s="9">
        <f t="shared" si="102"/>
        <v>40802.000749853927</v>
      </c>
      <c r="O154" s="9">
        <f t="shared" si="102"/>
        <v>43465.796205248858</v>
      </c>
      <c r="P154" s="9">
        <f t="shared" si="102"/>
        <v>46147.524922526456</v>
      </c>
      <c r="Q154" s="9">
        <f t="shared" si="102"/>
        <v>48834.089305059679</v>
      </c>
      <c r="R154" s="9">
        <f t="shared" si="102"/>
        <v>51511.7884064432</v>
      </c>
      <c r="S154" s="9">
        <f t="shared" si="102"/>
        <v>54166.424227212432</v>
      </c>
      <c r="U154" s="13"/>
      <c r="V154" s="13"/>
      <c r="W154" s="13"/>
    </row>
    <row r="155" spans="1:23" customFormat="1" x14ac:dyDescent="0.3"/>
    <row r="156" spans="1:23" customFormat="1" x14ac:dyDescent="0.3">
      <c r="A156" s="13"/>
      <c r="B156" s="13"/>
      <c r="C156" s="13"/>
      <c r="D156" s="13" t="s">
        <v>27</v>
      </c>
      <c r="E156" s="13"/>
      <c r="F156" s="13"/>
      <c r="G156" s="13"/>
      <c r="H156" s="6">
        <f>(-19759050)/1000</f>
        <v>-19759.05</v>
      </c>
      <c r="I156" s="6">
        <f>(-14588913)/1000</f>
        <v>-14588.913</v>
      </c>
      <c r="J156" s="6">
        <f>(-11097382)/1000</f>
        <v>-11097.382</v>
      </c>
      <c r="K156">
        <f>K149*K181*-1</f>
        <v>-11008.008311650468</v>
      </c>
      <c r="L156">
        <f t="shared" ref="L156:S156" si="103">L149*L181*-1</f>
        <v>-10867.601766940645</v>
      </c>
      <c r="M156">
        <f t="shared" si="103"/>
        <v>-10674.456368209196</v>
      </c>
      <c r="N156">
        <f t="shared" si="103"/>
        <v>-10427.195257085425</v>
      </c>
      <c r="O156">
        <f t="shared" si="103"/>
        <v>-10124.799698939272</v>
      </c>
      <c r="P156">
        <f t="shared" si="103"/>
        <v>-9766.6352739955564</v>
      </c>
      <c r="Q156">
        <f t="shared" si="103"/>
        <v>-9352.4747902763302</v>
      </c>
      <c r="R156">
        <f t="shared" si="103"/>
        <v>-8882.5174615720298</v>
      </c>
      <c r="S156">
        <f t="shared" si="103"/>
        <v>-8357.4039309103082</v>
      </c>
      <c r="U156" s="13"/>
      <c r="V156" s="13"/>
      <c r="W156" s="13"/>
    </row>
    <row r="157" spans="1:23" customFormat="1" x14ac:dyDescent="0.3">
      <c r="A157" s="13"/>
      <c r="B157" s="13"/>
      <c r="C157" s="13"/>
      <c r="D157" s="13" t="s">
        <v>28</v>
      </c>
      <c r="E157" s="13"/>
      <c r="F157" s="13"/>
      <c r="G157" s="13"/>
      <c r="H157" s="6">
        <f>(-342170)/1000</f>
        <v>-342.17</v>
      </c>
      <c r="I157" s="6">
        <f>(-936637)/1000</f>
        <v>-936.63699999999994</v>
      </c>
      <c r="J157" s="6">
        <f>(-373722)/1000</f>
        <v>-373.72199999999998</v>
      </c>
      <c r="K157">
        <f>K149*K182*-1</f>
        <v>-434.2591192500675</v>
      </c>
      <c r="L157">
        <f t="shared" ref="L157:S157" si="104">L149*L182*-1</f>
        <v>-498.60283806709242</v>
      </c>
      <c r="M157">
        <f t="shared" si="104"/>
        <v>-566.67311014290954</v>
      </c>
      <c r="N157">
        <f t="shared" si="104"/>
        <v>-638.35724041682852</v>
      </c>
      <c r="O157">
        <f t="shared" si="104"/>
        <v>-713.5090177448069</v>
      </c>
      <c r="P157">
        <f t="shared" si="104"/>
        <v>-791.94817942151076</v>
      </c>
      <c r="Q157">
        <f t="shared" si="104"/>
        <v>-873.4602328852277</v>
      </c>
      <c r="R157">
        <f t="shared" si="104"/>
        <v>-957.79665584120596</v>
      </c>
      <c r="S157">
        <f t="shared" si="104"/>
        <v>-1044.6754913637885</v>
      </c>
      <c r="U157" s="13"/>
      <c r="V157" s="13"/>
      <c r="W157" s="13"/>
    </row>
    <row r="158" spans="1:23" customFormat="1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U158" s="13"/>
      <c r="V158" s="13"/>
      <c r="W158" s="13"/>
    </row>
    <row r="159" spans="1:23" customFormat="1" x14ac:dyDescent="0.3">
      <c r="A159" s="13"/>
      <c r="B159" s="13"/>
      <c r="C159" s="13"/>
      <c r="D159" s="13" t="s">
        <v>29</v>
      </c>
      <c r="E159" s="13"/>
      <c r="F159" s="13"/>
      <c r="G159" s="13"/>
      <c r="H159" s="6">
        <f>(23727064)/1000</f>
        <v>23727.063999999998</v>
      </c>
      <c r="I159" s="6">
        <f>(22601498)/1000</f>
        <v>22601.498</v>
      </c>
      <c r="J159" s="6">
        <f>(26062995)/1000</f>
        <v>26062.994999999999</v>
      </c>
      <c r="K159">
        <f t="shared" ref="K159:S159" si="105">K150/days*K185*-1</f>
        <v>27221.628409736175</v>
      </c>
      <c r="L159">
        <f t="shared" si="105"/>
        <v>28379.356386688105</v>
      </c>
      <c r="M159">
        <f t="shared" si="105"/>
        <v>29531.680580543722</v>
      </c>
      <c r="N159">
        <f t="shared" si="105"/>
        <v>30673.933890505508</v>
      </c>
      <c r="O159">
        <f t="shared" si="105"/>
        <v>31801.3089075149</v>
      </c>
      <c r="P159">
        <f t="shared" si="105"/>
        <v>32908.888971480439</v>
      </c>
      <c r="Q159">
        <f t="shared" si="105"/>
        <v>33991.681600968361</v>
      </c>
      <c r="R159">
        <f t="shared" si="105"/>
        <v>35044.654010058191</v>
      </c>
      <c r="S159">
        <f t="shared" si="105"/>
        <v>36062.770386804754</v>
      </c>
      <c r="U159" s="13"/>
      <c r="V159" s="13"/>
      <c r="W159" s="13"/>
    </row>
    <row r="160" spans="1:23" customFormat="1" x14ac:dyDescent="0.3">
      <c r="A160" s="13"/>
      <c r="B160" s="13"/>
      <c r="C160" s="13"/>
      <c r="D160" s="13" t="s">
        <v>30</v>
      </c>
      <c r="E160" s="13"/>
      <c r="F160" s="13"/>
      <c r="G160" s="13"/>
      <c r="H160" s="6">
        <f>(19458460)/1000</f>
        <v>19458.46</v>
      </c>
      <c r="I160" s="6">
        <f>(19853239)/1000</f>
        <v>19853.239000000001</v>
      </c>
      <c r="J160" s="6">
        <f>(22609432)/1000</f>
        <v>22609.432000000001</v>
      </c>
      <c r="K160">
        <f t="shared" ref="K160:S160" si="106">K149/days*K186</f>
        <v>23869.290519480146</v>
      </c>
      <c r="L160">
        <f t="shared" si="106"/>
        <v>25150.54920714016</v>
      </c>
      <c r="M160">
        <f t="shared" si="106"/>
        <v>26449.219636820257</v>
      </c>
      <c r="N160">
        <f t="shared" si="106"/>
        <v>27760.991611626941</v>
      </c>
      <c r="O160">
        <f t="shared" si="106"/>
        <v>29081.250386576328</v>
      </c>
      <c r="P160">
        <f t="shared" si="106"/>
        <v>30405.097864821455</v>
      </c>
      <c r="Q160">
        <f t="shared" si="106"/>
        <v>31727.377724928836</v>
      </c>
      <c r="R160">
        <f t="shared" si="106"/>
        <v>33042.704379460301</v>
      </c>
      <c r="S160">
        <f t="shared" si="106"/>
        <v>34345.495606480727</v>
      </c>
      <c r="U160" s="13"/>
      <c r="V160" s="13"/>
      <c r="W160" s="13"/>
    </row>
    <row r="161" spans="1:23" customFormat="1" x14ac:dyDescent="0.3">
      <c r="A161" s="13"/>
      <c r="B161" s="13"/>
      <c r="C161" s="13"/>
      <c r="D161" s="13" t="s">
        <v>31</v>
      </c>
      <c r="E161" s="13"/>
      <c r="F161" s="13"/>
      <c r="G161" s="13"/>
      <c r="H161" s="6">
        <f>(16515816)/1000</f>
        <v>16515.815999999999</v>
      </c>
      <c r="I161" s="6">
        <f>(16368834)/1000</f>
        <v>16368.834000000001</v>
      </c>
      <c r="J161" s="6">
        <f>(18061464)/1000</f>
        <v>18061.464</v>
      </c>
      <c r="K161">
        <f t="shared" ref="K161:S161" si="107">K150/days*K187*-1</f>
        <v>18785.662982265447</v>
      </c>
      <c r="L161">
        <f t="shared" si="107"/>
        <v>19502.305718095769</v>
      </c>
      <c r="M161">
        <f t="shared" si="107"/>
        <v>20208.292423276671</v>
      </c>
      <c r="N161">
        <f t="shared" si="107"/>
        <v>20900.460689760908</v>
      </c>
      <c r="O161">
        <f t="shared" si="107"/>
        <v>21575.607622575062</v>
      </c>
      <c r="P161">
        <f t="shared" si="107"/>
        <v>22230.513266894348</v>
      </c>
      <c r="Q161">
        <f t="shared" si="107"/>
        <v>22861.965103555231</v>
      </c>
      <c r="R161">
        <f t="shared" si="107"/>
        <v>23466.783367699805</v>
      </c>
      <c r="S161">
        <f t="shared" si="107"/>
        <v>24041.846924536505</v>
      </c>
      <c r="U161" s="13"/>
      <c r="V161" s="13"/>
      <c r="W161" s="13"/>
    </row>
    <row r="162" spans="1:23" x14ac:dyDescent="0.3">
      <c r="K162"/>
      <c r="L162"/>
      <c r="M162"/>
      <c r="N162"/>
      <c r="O162"/>
      <c r="P162"/>
      <c r="Q162"/>
      <c r="R162"/>
      <c r="S162"/>
    </row>
    <row r="163" spans="1:23" customFormat="1" x14ac:dyDescent="0.3">
      <c r="A163" s="13"/>
      <c r="B163" s="13"/>
      <c r="C163" s="13"/>
      <c r="D163" s="13" t="s">
        <v>32</v>
      </c>
      <c r="E163" s="13"/>
      <c r="F163" s="13"/>
      <c r="G163" s="13"/>
      <c r="H163" s="8"/>
      <c r="I163">
        <f>H159-I159</f>
        <v>1125.5659999999989</v>
      </c>
      <c r="J163">
        <f>I159-J159</f>
        <v>-3461.4969999999994</v>
      </c>
      <c r="K163">
        <f t="shared" ref="K163:O164" si="108">J159-K159</f>
        <v>-1158.633409736176</v>
      </c>
      <c r="L163">
        <f t="shared" si="108"/>
        <v>-1157.72797695193</v>
      </c>
      <c r="M163">
        <f t="shared" si="108"/>
        <v>-1152.3241938556166</v>
      </c>
      <c r="N163">
        <f t="shared" si="108"/>
        <v>-1142.2533099617867</v>
      </c>
      <c r="O163">
        <f t="shared" si="108"/>
        <v>-1127.3750170093917</v>
      </c>
      <c r="P163">
        <f>O159-P159</f>
        <v>-1107.580063965539</v>
      </c>
      <c r="Q163">
        <f t="shared" ref="Q163:S164" si="109">P159-Q159</f>
        <v>-1082.7926294879217</v>
      </c>
      <c r="R163">
        <f t="shared" si="109"/>
        <v>-1052.9724090898308</v>
      </c>
      <c r="S163">
        <f t="shared" si="109"/>
        <v>-1018.1163767465623</v>
      </c>
      <c r="U163" s="13"/>
      <c r="V163" s="13"/>
      <c r="W163" s="13"/>
    </row>
    <row r="164" spans="1:23" customFormat="1" x14ac:dyDescent="0.3">
      <c r="A164" s="13"/>
      <c r="B164" s="13"/>
      <c r="C164" s="13"/>
      <c r="D164" s="13" t="s">
        <v>33</v>
      </c>
      <c r="E164" s="13"/>
      <c r="F164" s="13"/>
      <c r="G164" s="13"/>
      <c r="H164" s="8"/>
      <c r="I164">
        <f>H160-I160</f>
        <v>-394.77900000000227</v>
      </c>
      <c r="J164">
        <f>I160-J160</f>
        <v>-2756.1929999999993</v>
      </c>
      <c r="K164">
        <f t="shared" si="108"/>
        <v>-1259.8585194801453</v>
      </c>
      <c r="L164">
        <f t="shared" si="108"/>
        <v>-1281.2586876600144</v>
      </c>
      <c r="M164">
        <f t="shared" si="108"/>
        <v>-1298.6704296800963</v>
      </c>
      <c r="N164">
        <f t="shared" si="108"/>
        <v>-1311.7719748066847</v>
      </c>
      <c r="O164">
        <f t="shared" si="108"/>
        <v>-1320.2587749493869</v>
      </c>
      <c r="P164">
        <f>O160-P160</f>
        <v>-1323.8474782451267</v>
      </c>
      <c r="Q164">
        <f t="shared" si="109"/>
        <v>-1322.279860107381</v>
      </c>
      <c r="R164">
        <f t="shared" si="109"/>
        <v>-1315.3266545314655</v>
      </c>
      <c r="S164">
        <f t="shared" si="109"/>
        <v>-1302.7912270204251</v>
      </c>
      <c r="U164" s="13"/>
      <c r="V164" s="13"/>
      <c r="W164" s="13"/>
    </row>
    <row r="165" spans="1:23" customFormat="1" x14ac:dyDescent="0.3">
      <c r="A165" s="13"/>
      <c r="B165" s="13"/>
      <c r="C165" s="13"/>
      <c r="D165" s="13" t="s">
        <v>34</v>
      </c>
      <c r="E165" s="13"/>
      <c r="F165" s="13"/>
      <c r="G165" s="13"/>
      <c r="H165" s="8"/>
      <c r="I165">
        <f t="shared" ref="I165:S165" si="110">I161-H161</f>
        <v>-146.98199999999815</v>
      </c>
      <c r="J165">
        <f t="shared" si="110"/>
        <v>1692.6299999999992</v>
      </c>
      <c r="K165">
        <f t="shared" si="110"/>
        <v>724.19898226544683</v>
      </c>
      <c r="L165">
        <f t="shared" si="110"/>
        <v>716.64273583032264</v>
      </c>
      <c r="M165">
        <f t="shared" si="110"/>
        <v>705.98670518090148</v>
      </c>
      <c r="N165">
        <f t="shared" si="110"/>
        <v>692.16826648423739</v>
      </c>
      <c r="O165">
        <f t="shared" si="110"/>
        <v>675.14693281415384</v>
      </c>
      <c r="P165">
        <f t="shared" si="110"/>
        <v>654.90564431928578</v>
      </c>
      <c r="Q165">
        <f t="shared" si="110"/>
        <v>631.45183666088269</v>
      </c>
      <c r="R165">
        <f t="shared" si="110"/>
        <v>604.81826414457464</v>
      </c>
      <c r="S165">
        <f t="shared" si="110"/>
        <v>575.06355683669972</v>
      </c>
      <c r="U165" s="13"/>
      <c r="V165" s="13"/>
      <c r="W165" s="13"/>
    </row>
    <row r="166" spans="1:23" customFormat="1" x14ac:dyDescent="0.3">
      <c r="A166" s="13"/>
      <c r="B166" s="13"/>
      <c r="C166" s="13"/>
      <c r="D166" s="5" t="s">
        <v>35</v>
      </c>
      <c r="E166" s="5"/>
      <c r="F166" s="5"/>
      <c r="G166" s="5"/>
      <c r="H166" s="20"/>
      <c r="I166" s="5">
        <f>SUM(I163:I165)</f>
        <v>583.80499999999847</v>
      </c>
      <c r="J166" s="5">
        <f t="shared" ref="J166:S166" si="111">SUM(J163:J165)</f>
        <v>-4525.0599999999995</v>
      </c>
      <c r="K166" s="5">
        <f t="shared" si="111"/>
        <v>-1694.2929469508745</v>
      </c>
      <c r="L166" s="5">
        <f t="shared" si="111"/>
        <v>-1722.3439287816218</v>
      </c>
      <c r="M166" s="5">
        <f t="shared" si="111"/>
        <v>-1745.0079183548114</v>
      </c>
      <c r="N166" s="5">
        <f t="shared" si="111"/>
        <v>-1761.8570182842341</v>
      </c>
      <c r="O166" s="5">
        <f t="shared" si="111"/>
        <v>-1772.4868591446248</v>
      </c>
      <c r="P166" s="5">
        <f t="shared" si="111"/>
        <v>-1776.5218978913799</v>
      </c>
      <c r="Q166" s="5">
        <f t="shared" si="111"/>
        <v>-1773.6206529344199</v>
      </c>
      <c r="R166" s="5">
        <f t="shared" si="111"/>
        <v>-1763.4807994767216</v>
      </c>
      <c r="S166" s="5">
        <f t="shared" si="111"/>
        <v>-1745.8440469302877</v>
      </c>
      <c r="U166" s="13"/>
      <c r="V166" s="13"/>
      <c r="W166" s="13"/>
    </row>
    <row r="168" spans="1:23" customFormat="1" ht="17.5" thickBot="1" x14ac:dyDescent="0.45">
      <c r="A168" s="13"/>
      <c r="B168" s="2" t="s">
        <v>6</v>
      </c>
      <c r="C168" s="2"/>
      <c r="D168" s="2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U168" s="13"/>
      <c r="V168" s="13"/>
      <c r="W168" s="13"/>
    </row>
    <row r="169" spans="1:23" customFormat="1" ht="13.5" thickTop="1" x14ac:dyDescent="0.3">
      <c r="A169" s="13"/>
      <c r="B169" s="13"/>
      <c r="C169" s="13"/>
      <c r="D169" s="13" t="s">
        <v>36</v>
      </c>
      <c r="E169" s="13"/>
      <c r="F169" s="13"/>
      <c r="G169" s="13"/>
      <c r="H169" s="6">
        <f>(28519321)/1000</f>
        <v>28519.321</v>
      </c>
      <c r="I169" s="6">
        <f>(25870097)/1000</f>
        <v>25870.097000000002</v>
      </c>
      <c r="J169" s="6">
        <f>(28998387)/1000</f>
        <v>28998.386999999999</v>
      </c>
      <c r="K169" s="13"/>
      <c r="L169" s="13"/>
      <c r="M169" s="13"/>
      <c r="N169" s="13"/>
      <c r="O169" s="13"/>
      <c r="P169" s="13"/>
      <c r="Q169" s="13"/>
      <c r="R169" s="13"/>
      <c r="S169" s="13"/>
      <c r="U169" s="13"/>
      <c r="V169" s="13"/>
      <c r="W169" s="13"/>
    </row>
    <row r="170" spans="1:23" customFormat="1" x14ac:dyDescent="0.3">
      <c r="A170" s="13"/>
      <c r="B170" s="13"/>
      <c r="C170" s="13"/>
      <c r="D170" s="13" t="s">
        <v>5</v>
      </c>
      <c r="E170" s="13"/>
      <c r="F170" s="13"/>
      <c r="G170" s="13"/>
      <c r="H170" s="6">
        <f>(780615)/1000</f>
        <v>780.61500000000001</v>
      </c>
      <c r="I170" s="6">
        <f>(2189866)/1000</f>
        <v>2189.866</v>
      </c>
      <c r="J170" s="6">
        <f>(1563603)/1000</f>
        <v>1563.6030000000001</v>
      </c>
      <c r="K170" s="13"/>
      <c r="L170" s="13"/>
      <c r="M170" s="13"/>
      <c r="N170" s="13"/>
      <c r="O170" s="13"/>
      <c r="P170" s="13"/>
      <c r="Q170" s="13"/>
      <c r="R170" s="13"/>
      <c r="S170" s="13"/>
      <c r="U170" s="13"/>
      <c r="V170" s="13"/>
      <c r="W170" s="13"/>
    </row>
    <row r="171" spans="1:23" customFormat="1" x14ac:dyDescent="0.3">
      <c r="A171" s="13"/>
      <c r="B171" s="13"/>
      <c r="C171" s="13"/>
      <c r="D171" s="5" t="s">
        <v>6</v>
      </c>
      <c r="E171" s="5"/>
      <c r="F171" s="5"/>
      <c r="G171" s="5"/>
      <c r="H171" s="5">
        <f>SUM(H169:H170)</f>
        <v>29299.936000000002</v>
      </c>
      <c r="I171" s="5">
        <f>SUM(I169:I170)</f>
        <v>28059.963000000003</v>
      </c>
      <c r="J171" s="5">
        <f>SUM(J169:J170)</f>
        <v>30561.989999999998</v>
      </c>
      <c r="K171" s="13"/>
      <c r="L171" s="13"/>
      <c r="M171" s="13"/>
      <c r="N171" s="13"/>
      <c r="O171" s="13"/>
      <c r="P171" s="13"/>
      <c r="Q171" s="13"/>
      <c r="R171" s="13"/>
      <c r="S171" s="13"/>
      <c r="U171" s="13"/>
      <c r="V171" s="13"/>
      <c r="W171" s="13"/>
    </row>
    <row r="172" spans="1:23" customFormat="1" ht="17.5" thickBot="1" x14ac:dyDescent="0.45">
      <c r="A172" s="13"/>
      <c r="B172" s="2" t="s">
        <v>37</v>
      </c>
      <c r="C172" s="2"/>
      <c r="D172" s="2"/>
      <c r="E172" s="13"/>
      <c r="F172" s="13"/>
      <c r="G172" s="13"/>
      <c r="H172" s="13"/>
      <c r="I172" s="13"/>
      <c r="J172" s="13"/>
      <c r="K172" s="13"/>
      <c r="L172" s="21"/>
      <c r="M172" s="21"/>
      <c r="N172" s="13"/>
      <c r="O172" s="13"/>
      <c r="P172" s="13"/>
      <c r="Q172" s="13"/>
      <c r="R172" s="13"/>
      <c r="S172" s="13"/>
      <c r="U172" s="13"/>
      <c r="V172" s="13"/>
      <c r="W172" s="13"/>
    </row>
    <row r="173" spans="1:23" customFormat="1" ht="13.5" thickTop="1" x14ac:dyDescent="0.3">
      <c r="A173" s="13"/>
      <c r="B173" s="13"/>
      <c r="C173" s="13"/>
      <c r="D173" s="13" t="s">
        <v>38</v>
      </c>
      <c r="E173" s="13"/>
      <c r="F173" s="13"/>
      <c r="G173" s="13"/>
      <c r="H173" s="8"/>
      <c r="I173" s="6">
        <v>29624.744999999999</v>
      </c>
      <c r="J173" s="6">
        <v>27250.742999999999</v>
      </c>
      <c r="K173" s="13"/>
      <c r="L173" s="13"/>
      <c r="M173" s="13"/>
      <c r="N173" s="13"/>
      <c r="O173" s="13"/>
      <c r="P173" s="13"/>
      <c r="Q173" s="13"/>
      <c r="R173" s="13"/>
      <c r="S173" s="13"/>
      <c r="U173" s="13"/>
      <c r="V173" s="13"/>
      <c r="W173" s="13"/>
    </row>
    <row r="174" spans="1:23" customFormat="1" x14ac:dyDescent="0.3">
      <c r="A174" s="13"/>
      <c r="B174" s="13"/>
      <c r="C174" s="13"/>
      <c r="D174" s="13" t="s">
        <v>39</v>
      </c>
      <c r="E174" s="13"/>
      <c r="F174" s="13"/>
      <c r="G174" s="13"/>
      <c r="H174" s="8"/>
      <c r="I174" s="6">
        <v>4140</v>
      </c>
      <c r="J174" s="6">
        <v>3872.81</v>
      </c>
      <c r="K174" s="13"/>
      <c r="L174" s="13"/>
      <c r="M174" s="13"/>
      <c r="N174" s="13"/>
      <c r="O174" s="13"/>
      <c r="P174" s="13"/>
      <c r="Q174" s="13"/>
      <c r="R174" s="13"/>
      <c r="S174" s="13"/>
      <c r="U174" s="13"/>
      <c r="V174" s="13"/>
      <c r="W174" s="13"/>
    </row>
    <row r="175" spans="1:23" customFormat="1" x14ac:dyDescent="0.3">
      <c r="A175" s="13"/>
      <c r="B175" s="13"/>
      <c r="C175" s="13"/>
      <c r="D175" s="5" t="s">
        <v>40</v>
      </c>
      <c r="E175" s="5"/>
      <c r="F175" s="5"/>
      <c r="G175" s="5"/>
      <c r="H175" s="11"/>
      <c r="I175" s="22">
        <f>I174/I173</f>
        <v>0.13974803833754518</v>
      </c>
      <c r="J175" s="22">
        <f>J174/J173</f>
        <v>0.14211759290379716</v>
      </c>
      <c r="K175" s="13"/>
      <c r="L175" s="13"/>
      <c r="M175" s="13"/>
      <c r="N175" s="13"/>
      <c r="O175" s="13"/>
      <c r="P175" s="13"/>
      <c r="Q175" s="13"/>
      <c r="R175" s="13"/>
      <c r="S175" s="13"/>
      <c r="U175" s="13"/>
      <c r="V175" s="13"/>
      <c r="W175" s="13"/>
    </row>
    <row r="177" spans="1:23" customFormat="1" ht="15.5" x14ac:dyDescent="0.35">
      <c r="A177" s="3" t="s">
        <v>41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U177" s="13"/>
      <c r="V177" s="13"/>
      <c r="W177" s="13"/>
    </row>
    <row r="178" spans="1:23" customFormat="1" x14ac:dyDescent="0.3">
      <c r="A178" s="13"/>
      <c r="B178" s="13"/>
      <c r="C178" s="13"/>
      <c r="D178" s="13" t="s">
        <v>42</v>
      </c>
      <c r="E178" s="13"/>
      <c r="F178" s="13"/>
      <c r="G178" s="13"/>
      <c r="H178" s="23"/>
      <c r="I178" s="21">
        <f>I149/H149-1</f>
        <v>-3.4351139857550672E-2</v>
      </c>
      <c r="J178" s="40">
        <v>4.7323052517067137E-2</v>
      </c>
      <c r="K178" s="24">
        <f>K191</f>
        <v>4.539826890405968E-2</v>
      </c>
      <c r="L178" s="24">
        <f t="shared" ref="L178:S178" si="112">L191</f>
        <v>4.3473485291052216E-2</v>
      </c>
      <c r="M178" s="24">
        <f t="shared" si="112"/>
        <v>4.154870167804476E-2</v>
      </c>
      <c r="N178" s="24">
        <f t="shared" si="112"/>
        <v>3.9623918065037303E-2</v>
      </c>
      <c r="O178" s="24">
        <f t="shared" si="112"/>
        <v>3.7699134452029839E-2</v>
      </c>
      <c r="P178" s="24">
        <f t="shared" si="112"/>
        <v>3.5774350839022376E-2</v>
      </c>
      <c r="Q178" s="24">
        <f t="shared" si="112"/>
        <v>3.3849567226014919E-2</v>
      </c>
      <c r="R178" s="24">
        <f t="shared" si="112"/>
        <v>3.1924783613007462E-2</v>
      </c>
      <c r="S178" s="24">
        <f t="shared" si="112"/>
        <v>0.03</v>
      </c>
      <c r="U178" s="13"/>
      <c r="V178" s="13"/>
      <c r="W178" s="13"/>
    </row>
    <row r="179" spans="1:23" customFormat="1" x14ac:dyDescent="0.3">
      <c r="A179" s="13"/>
      <c r="B179" s="13"/>
      <c r="C179" s="13"/>
      <c r="D179" s="13" t="s">
        <v>3</v>
      </c>
      <c r="E179" s="13"/>
      <c r="F179" s="13"/>
      <c r="G179" s="13"/>
      <c r="H179" s="21">
        <f>H151/H149</f>
        <v>0.29869191119488003</v>
      </c>
      <c r="I179" s="21">
        <f>I151/I149</f>
        <v>0.29903104729663277</v>
      </c>
      <c r="J179" s="40">
        <f>J151/J149</f>
        <v>0.30320212666738816</v>
      </c>
      <c r="K179" s="24">
        <f t="shared" ref="K179:S179" si="113">K192</f>
        <v>0.30284633481545614</v>
      </c>
      <c r="L179" s="24">
        <f t="shared" si="113"/>
        <v>0.30249054296352412</v>
      </c>
      <c r="M179" s="24">
        <f t="shared" si="113"/>
        <v>0.3021347511115921</v>
      </c>
      <c r="N179" s="24">
        <f t="shared" si="113"/>
        <v>0.30177895925966008</v>
      </c>
      <c r="O179" s="24">
        <f t="shared" si="113"/>
        <v>0.30142316740772807</v>
      </c>
      <c r="P179" s="24">
        <f t="shared" si="113"/>
        <v>0.30106737555579605</v>
      </c>
      <c r="Q179" s="24">
        <f t="shared" si="113"/>
        <v>0.30071158370386403</v>
      </c>
      <c r="R179" s="24">
        <f t="shared" si="113"/>
        <v>0.30035579185193201</v>
      </c>
      <c r="S179" s="24">
        <f t="shared" si="113"/>
        <v>0.3</v>
      </c>
      <c r="U179" s="13"/>
      <c r="V179" s="13"/>
      <c r="W179" s="13"/>
    </row>
    <row r="180" spans="1:23" customFormat="1" x14ac:dyDescent="0.3">
      <c r="A180" s="13"/>
      <c r="B180" s="13"/>
      <c r="C180" s="13"/>
      <c r="D180" s="13" t="s">
        <v>37</v>
      </c>
      <c r="E180" s="13"/>
      <c r="F180" s="13"/>
      <c r="G180" s="13"/>
      <c r="H180" s="23"/>
      <c r="I180" s="24">
        <f>I175</f>
        <v>0.13974803833754518</v>
      </c>
      <c r="J180" s="41">
        <f>J175</f>
        <v>0.14211759290379716</v>
      </c>
      <c r="K180" s="24">
        <f t="shared" ref="K180:S180" si="114">K193</f>
        <v>0.14210452702559748</v>
      </c>
      <c r="L180" s="24">
        <f t="shared" si="114"/>
        <v>0.14209146114739779</v>
      </c>
      <c r="M180" s="24">
        <f t="shared" si="114"/>
        <v>0.1420783952691981</v>
      </c>
      <c r="N180" s="24">
        <f t="shared" si="114"/>
        <v>0.14206532939099842</v>
      </c>
      <c r="O180" s="24">
        <f t="shared" si="114"/>
        <v>0.14205226351279873</v>
      </c>
      <c r="P180" s="24">
        <f t="shared" si="114"/>
        <v>0.14203919763459905</v>
      </c>
      <c r="Q180" s="24">
        <f t="shared" si="114"/>
        <v>0.14202613175639936</v>
      </c>
      <c r="R180" s="24">
        <f t="shared" si="114"/>
        <v>0.14201306587819967</v>
      </c>
      <c r="S180" s="24">
        <f t="shared" si="114"/>
        <v>0.14199999999999999</v>
      </c>
      <c r="U180" s="13"/>
      <c r="V180" s="13"/>
      <c r="W180" s="13"/>
    </row>
    <row r="181" spans="1:23" customFormat="1" x14ac:dyDescent="0.3">
      <c r="A181" s="13"/>
      <c r="B181" s="13"/>
      <c r="C181" s="13"/>
      <c r="D181" s="13" t="s">
        <v>43</v>
      </c>
      <c r="E181" s="13"/>
      <c r="F181" s="13"/>
      <c r="G181" s="13"/>
      <c r="H181" s="21">
        <f>-H156/H149</f>
        <v>0.13342979456745938</v>
      </c>
      <c r="I181" s="21">
        <f>-I156/I149</f>
        <v>0.10202120748864606</v>
      </c>
      <c r="J181" s="40">
        <f>-J156/J149</f>
        <v>7.4098155597004528E-2</v>
      </c>
      <c r="K181" s="24">
        <f t="shared" ref="K181:S181" si="115">K194</f>
        <v>7.0309471641781807E-2</v>
      </c>
      <c r="L181" s="24">
        <f t="shared" si="115"/>
        <v>6.6520787686559085E-2</v>
      </c>
      <c r="M181" s="24">
        <f t="shared" si="115"/>
        <v>6.2732103731336364E-2</v>
      </c>
      <c r="N181" s="24">
        <f t="shared" si="115"/>
        <v>5.8943419776113636E-2</v>
      </c>
      <c r="O181" s="24">
        <f t="shared" si="115"/>
        <v>5.5154735820890907E-2</v>
      </c>
      <c r="P181" s="24">
        <f t="shared" si="115"/>
        <v>5.1366051865668179E-2</v>
      </c>
      <c r="Q181" s="24">
        <f t="shared" si="115"/>
        <v>4.7577367910445451E-2</v>
      </c>
      <c r="R181" s="24">
        <f t="shared" si="115"/>
        <v>4.3788683955222729E-2</v>
      </c>
      <c r="S181" s="24">
        <f t="shared" si="115"/>
        <v>0.04</v>
      </c>
      <c r="U181" s="13"/>
      <c r="V181" s="13"/>
      <c r="W181" s="13"/>
    </row>
    <row r="182" spans="1:23" customFormat="1" x14ac:dyDescent="0.3">
      <c r="A182" s="13"/>
      <c r="B182" s="13"/>
      <c r="C182" s="13"/>
      <c r="D182" s="13" t="s">
        <v>44</v>
      </c>
      <c r="E182" s="13"/>
      <c r="F182" s="13"/>
      <c r="G182" s="13"/>
      <c r="H182" s="21">
        <f>-H157/H149</f>
        <v>2.3106208449873646E-3</v>
      </c>
      <c r="I182" s="21">
        <f>-I157/I149</f>
        <v>6.5499628189257808E-3</v>
      </c>
      <c r="J182" s="40">
        <f>-J157/J149</f>
        <v>2.4953733147172661E-3</v>
      </c>
      <c r="K182" s="24">
        <f t="shared" ref="K182:S182" si="116">K195</f>
        <v>2.7736651686375699E-3</v>
      </c>
      <c r="L182" s="24">
        <f t="shared" si="116"/>
        <v>3.0519570225578736E-3</v>
      </c>
      <c r="M182" s="24">
        <f t="shared" si="116"/>
        <v>3.3302488764781774E-3</v>
      </c>
      <c r="N182" s="24">
        <f t="shared" si="116"/>
        <v>3.6085407303984812E-3</v>
      </c>
      <c r="O182" s="24">
        <f t="shared" si="116"/>
        <v>3.886832584318785E-3</v>
      </c>
      <c r="P182" s="24">
        <f t="shared" si="116"/>
        <v>4.1651244382390883E-3</v>
      </c>
      <c r="Q182" s="24">
        <f t="shared" si="116"/>
        <v>4.4434162921593925E-3</v>
      </c>
      <c r="R182" s="24">
        <f t="shared" si="116"/>
        <v>4.7217081460796968E-3</v>
      </c>
      <c r="S182" s="24">
        <f t="shared" si="116"/>
        <v>5.0000000000000001E-3</v>
      </c>
      <c r="U182" s="13"/>
      <c r="V182" s="13"/>
      <c r="W182" s="13"/>
    </row>
    <row r="183" spans="1:23" customFormat="1" x14ac:dyDescent="0.3">
      <c r="A183" s="13"/>
      <c r="B183" s="13"/>
      <c r="C183" s="13"/>
      <c r="D183" s="13" t="s">
        <v>45</v>
      </c>
      <c r="E183" s="13"/>
      <c r="F183" s="13"/>
      <c r="G183" s="13"/>
      <c r="H183" s="21">
        <f t="shared" ref="H183:J184" si="117">H152/H156</f>
        <v>0.69630088491096487</v>
      </c>
      <c r="I183" s="21">
        <f t="shared" si="117"/>
        <v>0.95030239744386713</v>
      </c>
      <c r="J183" s="40">
        <f t="shared" si="117"/>
        <v>1.2550903447317576</v>
      </c>
      <c r="K183" s="24">
        <f t="shared" ref="K183:S183" si="118">K196</f>
        <v>1.2156358619837846</v>
      </c>
      <c r="L183" s="24">
        <f t="shared" si="118"/>
        <v>1.1761813792358116</v>
      </c>
      <c r="M183" s="24">
        <f t="shared" si="118"/>
        <v>1.1367268964878385</v>
      </c>
      <c r="N183" s="24">
        <f t="shared" si="118"/>
        <v>1.0972724137398655</v>
      </c>
      <c r="O183" s="24">
        <f t="shared" si="118"/>
        <v>1.0578179309918925</v>
      </c>
      <c r="P183" s="24">
        <f t="shared" si="118"/>
        <v>1.0183634482439194</v>
      </c>
      <c r="Q183" s="24">
        <f t="shared" si="118"/>
        <v>0.9789089654959463</v>
      </c>
      <c r="R183" s="24">
        <f t="shared" si="118"/>
        <v>0.93945448274797316</v>
      </c>
      <c r="S183" s="24">
        <f t="shared" si="118"/>
        <v>0.9</v>
      </c>
      <c r="U183" s="13"/>
      <c r="V183" s="13"/>
      <c r="W183" s="13"/>
    </row>
    <row r="184" spans="1:23" customFormat="1" x14ac:dyDescent="0.3">
      <c r="A184" s="13"/>
      <c r="B184" s="13"/>
      <c r="C184" s="13"/>
      <c r="D184" s="13" t="s">
        <v>46</v>
      </c>
      <c r="E184" s="13"/>
      <c r="F184" s="13"/>
      <c r="G184" s="13"/>
      <c r="H184" s="21">
        <f t="shared" si="117"/>
        <v>3.4305549872870214</v>
      </c>
      <c r="I184" s="21">
        <f t="shared" si="117"/>
        <v>0.89388631881935054</v>
      </c>
      <c r="J184" s="40">
        <f t="shared" si="117"/>
        <v>2.4594564943995807</v>
      </c>
      <c r="K184" s="24">
        <f t="shared" ref="K184:S184" si="119">K197</f>
        <v>2.2917391061329608</v>
      </c>
      <c r="L184" s="24">
        <f t="shared" si="119"/>
        <v>2.1240217178663405</v>
      </c>
      <c r="M184" s="24">
        <f t="shared" si="119"/>
        <v>1.9563043295997204</v>
      </c>
      <c r="N184" s="24">
        <f t="shared" si="119"/>
        <v>1.7885869413331004</v>
      </c>
      <c r="O184" s="24">
        <f t="shared" si="119"/>
        <v>1.6208695530664803</v>
      </c>
      <c r="P184" s="24">
        <f t="shared" si="119"/>
        <v>1.4531521647998602</v>
      </c>
      <c r="Q184" s="24">
        <f t="shared" si="119"/>
        <v>1.2854347765332401</v>
      </c>
      <c r="R184" s="24">
        <f t="shared" si="119"/>
        <v>1.11771738826662</v>
      </c>
      <c r="S184" s="24">
        <f t="shared" si="119"/>
        <v>0.95</v>
      </c>
      <c r="U184" s="13"/>
      <c r="V184" s="13"/>
      <c r="W184" s="13"/>
    </row>
    <row r="185" spans="1:23" customFormat="1" x14ac:dyDescent="0.3">
      <c r="A185" s="13"/>
      <c r="B185" s="13"/>
      <c r="C185" s="13"/>
      <c r="D185" s="13" t="str">
        <f>D159&amp;" Days"</f>
        <v>Inventory Days</v>
      </c>
      <c r="E185" s="13"/>
      <c r="F185" s="13"/>
      <c r="G185" s="13"/>
      <c r="H185" s="27"/>
      <c r="I185" s="25">
        <f>I159/I150*days*-1</f>
        <v>82.299809778229445</v>
      </c>
      <c r="J185" s="42">
        <f>J159/J150*days*-1</f>
        <v>91.15851269332174</v>
      </c>
      <c r="K185" s="24">
        <f t="shared" ref="K185:S185" si="120">K198</f>
        <v>91.029789060730437</v>
      </c>
      <c r="L185" s="24">
        <f t="shared" si="120"/>
        <v>90.901065428139134</v>
      </c>
      <c r="M185" s="24">
        <f t="shared" si="120"/>
        <v>90.772341795547831</v>
      </c>
      <c r="N185" s="24">
        <f t="shared" si="120"/>
        <v>90.643618162956528</v>
      </c>
      <c r="O185" s="24">
        <f t="shared" si="120"/>
        <v>90.514894530365225</v>
      </c>
      <c r="P185" s="24">
        <f t="shared" si="120"/>
        <v>90.386170897773923</v>
      </c>
      <c r="Q185" s="24">
        <f t="shared" si="120"/>
        <v>90.25744726518262</v>
      </c>
      <c r="R185" s="24">
        <f t="shared" si="120"/>
        <v>90.128723632591317</v>
      </c>
      <c r="S185" s="24">
        <f t="shared" si="120"/>
        <v>90</v>
      </c>
      <c r="U185" s="13"/>
      <c r="V185" s="13"/>
      <c r="W185" s="13"/>
    </row>
    <row r="186" spans="1:23" customFormat="1" x14ac:dyDescent="0.3">
      <c r="A186" s="13"/>
      <c r="B186" s="13"/>
      <c r="C186" s="13"/>
      <c r="D186" s="13" t="str">
        <f>D160&amp;" Days"</f>
        <v>Receivable Days</v>
      </c>
      <c r="E186" s="13"/>
      <c r="F186" s="13"/>
      <c r="G186" s="13"/>
      <c r="H186" s="27"/>
      <c r="I186" s="25">
        <f>I160/I149*days</f>
        <v>50.67476696854304</v>
      </c>
      <c r="J186" s="42">
        <f>J160/J149*days</f>
        <v>55.102255807541006</v>
      </c>
      <c r="K186" s="24">
        <f t="shared" ref="K186:S186" si="121">K199</f>
        <v>55.646449606703115</v>
      </c>
      <c r="L186" s="24">
        <f t="shared" si="121"/>
        <v>56.190643405865224</v>
      </c>
      <c r="M186" s="24">
        <f t="shared" si="121"/>
        <v>56.734837205027333</v>
      </c>
      <c r="N186" s="24">
        <f t="shared" si="121"/>
        <v>57.279031004189441</v>
      </c>
      <c r="O186" s="24">
        <f t="shared" si="121"/>
        <v>57.82322480335155</v>
      </c>
      <c r="P186" s="24">
        <f t="shared" si="121"/>
        <v>58.367418602513666</v>
      </c>
      <c r="Q186" s="24">
        <f t="shared" si="121"/>
        <v>58.911612401675775</v>
      </c>
      <c r="R186" s="24">
        <f t="shared" si="121"/>
        <v>59.455806200837884</v>
      </c>
      <c r="S186" s="24">
        <f t="shared" si="121"/>
        <v>60</v>
      </c>
      <c r="U186" s="13"/>
      <c r="V186" s="13"/>
      <c r="W186" s="13"/>
    </row>
    <row r="187" spans="1:23" customFormat="1" x14ac:dyDescent="0.3">
      <c r="A187" s="13"/>
      <c r="B187" s="13"/>
      <c r="C187" s="13"/>
      <c r="D187" s="13" t="str">
        <f>D161&amp;" Days"</f>
        <v>Payable Days</v>
      </c>
      <c r="E187" s="13"/>
      <c r="F187" s="13"/>
      <c r="G187" s="13"/>
      <c r="H187" s="27"/>
      <c r="I187" s="25">
        <f>I161/I150*days*-1</f>
        <v>59.604541455235164</v>
      </c>
      <c r="J187" s="42">
        <f>J161/J150*days*-1</f>
        <v>63.172179379383437</v>
      </c>
      <c r="K187" s="24">
        <f t="shared" ref="K187:S187" si="122">K200</f>
        <v>62.819715003896391</v>
      </c>
      <c r="L187" s="24">
        <f t="shared" si="122"/>
        <v>62.467250628409346</v>
      </c>
      <c r="M187" s="24">
        <f t="shared" si="122"/>
        <v>62.114786252922293</v>
      </c>
      <c r="N187" s="24">
        <f t="shared" si="122"/>
        <v>61.762321877435241</v>
      </c>
      <c r="O187" s="24">
        <f t="shared" si="122"/>
        <v>61.409857501948196</v>
      </c>
      <c r="P187" s="24">
        <f t="shared" si="122"/>
        <v>61.05739312646115</v>
      </c>
      <c r="Q187" s="24">
        <f t="shared" si="122"/>
        <v>60.704928750974098</v>
      </c>
      <c r="R187" s="24">
        <f t="shared" si="122"/>
        <v>60.352464375487045</v>
      </c>
      <c r="S187" s="24">
        <f t="shared" si="122"/>
        <v>60</v>
      </c>
      <c r="U187" s="13"/>
      <c r="V187" s="13"/>
      <c r="W187" s="13"/>
    </row>
    <row r="189" spans="1:23" ht="15.5" x14ac:dyDescent="0.35">
      <c r="A189" s="3" t="s">
        <v>50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23" customFormat="1" ht="17.5" thickBot="1" x14ac:dyDescent="0.45">
      <c r="C190" s="2" t="s">
        <v>51</v>
      </c>
      <c r="D190" s="2"/>
    </row>
    <row r="191" spans="1:23" ht="13.5" thickTop="1" x14ac:dyDescent="0.3">
      <c r="D191" s="13" t="s">
        <v>42</v>
      </c>
      <c r="H191" s="36"/>
      <c r="I191" s="37"/>
      <c r="J191" s="37"/>
      <c r="K191" s="7">
        <v>4.539826890405968E-2</v>
      </c>
      <c r="L191" s="7">
        <v>4.3473485291052216E-2</v>
      </c>
      <c r="M191" s="7">
        <v>4.154870167804476E-2</v>
      </c>
      <c r="N191" s="7">
        <v>3.9623918065037303E-2</v>
      </c>
      <c r="O191" s="7">
        <v>3.7699134452029839E-2</v>
      </c>
      <c r="P191" s="7">
        <v>3.5774350839022376E-2</v>
      </c>
      <c r="Q191" s="7">
        <v>3.3849567226014919E-2</v>
      </c>
      <c r="R191" s="7">
        <v>3.1924783613007462E-2</v>
      </c>
      <c r="S191" s="7">
        <v>0.03</v>
      </c>
    </row>
    <row r="192" spans="1:23" x14ac:dyDescent="0.3">
      <c r="D192" s="13" t="s">
        <v>3</v>
      </c>
      <c r="H192" s="37"/>
      <c r="I192" s="37"/>
      <c r="J192" s="37"/>
      <c r="K192" s="7">
        <v>0.30284633481545614</v>
      </c>
      <c r="L192" s="7">
        <v>0.30249054296352412</v>
      </c>
      <c r="M192" s="7">
        <v>0.3021347511115921</v>
      </c>
      <c r="N192" s="7">
        <v>0.30177895925966008</v>
      </c>
      <c r="O192" s="7">
        <v>0.30142316740772807</v>
      </c>
      <c r="P192" s="7">
        <v>0.30106737555579605</v>
      </c>
      <c r="Q192" s="7">
        <v>0.30071158370386403</v>
      </c>
      <c r="R192" s="7">
        <v>0.30035579185193201</v>
      </c>
      <c r="S192" s="7">
        <v>0.3</v>
      </c>
    </row>
    <row r="193" spans="1:24" x14ac:dyDescent="0.3">
      <c r="D193" s="13" t="s">
        <v>37</v>
      </c>
      <c r="H193" s="36"/>
      <c r="I193" s="37"/>
      <c r="J193" s="37"/>
      <c r="K193" s="7">
        <v>0.14210452702559748</v>
      </c>
      <c r="L193" s="7">
        <v>0.14209146114739779</v>
      </c>
      <c r="M193" s="7">
        <v>0.1420783952691981</v>
      </c>
      <c r="N193" s="7">
        <v>0.14206532939099842</v>
      </c>
      <c r="O193" s="7">
        <v>0.14205226351279873</v>
      </c>
      <c r="P193" s="7">
        <v>0.14203919763459905</v>
      </c>
      <c r="Q193" s="7">
        <v>0.14202613175639936</v>
      </c>
      <c r="R193" s="7">
        <v>0.14201306587819967</v>
      </c>
      <c r="S193" s="38">
        <v>0.14199999999999999</v>
      </c>
    </row>
    <row r="194" spans="1:24" x14ac:dyDescent="0.3">
      <c r="D194" s="13" t="s">
        <v>43</v>
      </c>
      <c r="H194" s="37"/>
      <c r="I194" s="37"/>
      <c r="J194" s="37"/>
      <c r="K194" s="7">
        <v>7.0309471641781807E-2</v>
      </c>
      <c r="L194" s="7">
        <v>6.6520787686559085E-2</v>
      </c>
      <c r="M194" s="7">
        <v>6.2732103731336364E-2</v>
      </c>
      <c r="N194" s="7">
        <v>5.8943419776113636E-2</v>
      </c>
      <c r="O194" s="7">
        <v>5.5154735820890907E-2</v>
      </c>
      <c r="P194" s="7">
        <v>5.1366051865668179E-2</v>
      </c>
      <c r="Q194" s="7">
        <v>4.7577367910445451E-2</v>
      </c>
      <c r="R194" s="7">
        <v>4.3788683955222729E-2</v>
      </c>
      <c r="S194" s="7">
        <v>0.04</v>
      </c>
    </row>
    <row r="195" spans="1:24" x14ac:dyDescent="0.3">
      <c r="D195" s="13" t="s">
        <v>44</v>
      </c>
      <c r="H195" s="37"/>
      <c r="I195" s="37"/>
      <c r="J195" s="37"/>
      <c r="K195" s="7">
        <v>2.7736651686375699E-3</v>
      </c>
      <c r="L195" s="7">
        <v>3.0519570225578736E-3</v>
      </c>
      <c r="M195" s="7">
        <v>3.3302488764781774E-3</v>
      </c>
      <c r="N195" s="7">
        <v>3.6085407303984812E-3</v>
      </c>
      <c r="O195" s="7">
        <v>3.886832584318785E-3</v>
      </c>
      <c r="P195" s="7">
        <v>4.1651244382390883E-3</v>
      </c>
      <c r="Q195" s="7">
        <v>4.4434162921593925E-3</v>
      </c>
      <c r="R195" s="7">
        <v>4.7217081460796968E-3</v>
      </c>
      <c r="S195" s="7">
        <v>5.0000000000000001E-3</v>
      </c>
    </row>
    <row r="196" spans="1:24" x14ac:dyDescent="0.3">
      <c r="D196" s="13" t="s">
        <v>45</v>
      </c>
      <c r="H196" s="37"/>
      <c r="I196" s="37"/>
      <c r="J196" s="37"/>
      <c r="K196" s="7">
        <v>1.2156358619837846</v>
      </c>
      <c r="L196" s="7">
        <v>1.1761813792358116</v>
      </c>
      <c r="M196" s="7">
        <v>1.1367268964878385</v>
      </c>
      <c r="N196" s="7">
        <v>1.0972724137398655</v>
      </c>
      <c r="O196" s="7">
        <v>1.0578179309918925</v>
      </c>
      <c r="P196" s="7">
        <v>1.0183634482439194</v>
      </c>
      <c r="Q196" s="7">
        <v>0.9789089654959463</v>
      </c>
      <c r="R196" s="7">
        <v>0.93945448274797316</v>
      </c>
      <c r="S196" s="7">
        <v>0.9</v>
      </c>
    </row>
    <row r="197" spans="1:24" x14ac:dyDescent="0.3">
      <c r="D197" s="13" t="s">
        <v>46</v>
      </c>
      <c r="H197" s="37"/>
      <c r="I197" s="37"/>
      <c r="J197" s="37"/>
      <c r="K197" s="7">
        <v>2.2917391061329608</v>
      </c>
      <c r="L197" s="7">
        <v>2.1240217178663405</v>
      </c>
      <c r="M197" s="7">
        <v>1.9563043295997204</v>
      </c>
      <c r="N197" s="7">
        <v>1.7885869413331004</v>
      </c>
      <c r="O197" s="7">
        <v>1.6208695530664803</v>
      </c>
      <c r="P197" s="7">
        <v>1.4531521647998602</v>
      </c>
      <c r="Q197" s="7">
        <v>1.2854347765332401</v>
      </c>
      <c r="R197" s="7">
        <v>1.11771738826662</v>
      </c>
      <c r="S197" s="7">
        <v>0.95</v>
      </c>
    </row>
    <row r="198" spans="1:24" customFormat="1" x14ac:dyDescent="0.3">
      <c r="A198" s="13"/>
      <c r="B198" s="13"/>
      <c r="C198" s="13"/>
      <c r="D198" s="13" t="s">
        <v>1</v>
      </c>
      <c r="E198" s="13"/>
      <c r="F198" s="13"/>
      <c r="G198" s="13"/>
      <c r="H198" s="27"/>
      <c r="I198" s="27"/>
      <c r="J198" s="27"/>
      <c r="K198" s="39">
        <v>91.029789060730437</v>
      </c>
      <c r="L198" s="39">
        <v>90.901065428139134</v>
      </c>
      <c r="M198" s="39">
        <v>90.772341795547831</v>
      </c>
      <c r="N198" s="39">
        <v>90.643618162956528</v>
      </c>
      <c r="O198" s="39">
        <v>90.514894530365225</v>
      </c>
      <c r="P198" s="39">
        <v>90.386170897773923</v>
      </c>
      <c r="Q198" s="39">
        <v>90.25744726518262</v>
      </c>
      <c r="R198" s="39">
        <v>90.128723632591317</v>
      </c>
      <c r="S198" s="39">
        <v>90</v>
      </c>
      <c r="U198" s="13"/>
      <c r="V198" s="13"/>
      <c r="W198" s="13"/>
      <c r="X198" s="13"/>
    </row>
    <row r="199" spans="1:24" customFormat="1" x14ac:dyDescent="0.3">
      <c r="A199" s="13"/>
      <c r="B199" s="13"/>
      <c r="C199" s="13"/>
      <c r="D199" s="13" t="s">
        <v>2</v>
      </c>
      <c r="E199" s="13"/>
      <c r="F199" s="13"/>
      <c r="G199" s="13"/>
      <c r="H199" s="27"/>
      <c r="I199" s="27"/>
      <c r="J199" s="27"/>
      <c r="K199" s="39">
        <v>55.646449606703115</v>
      </c>
      <c r="L199" s="39">
        <v>56.190643405865224</v>
      </c>
      <c r="M199" s="39">
        <v>56.734837205027333</v>
      </c>
      <c r="N199" s="39">
        <v>57.279031004189441</v>
      </c>
      <c r="O199" s="39">
        <v>57.82322480335155</v>
      </c>
      <c r="P199" s="39">
        <v>58.367418602513666</v>
      </c>
      <c r="Q199" s="39">
        <v>58.911612401675775</v>
      </c>
      <c r="R199" s="39">
        <v>59.455806200837884</v>
      </c>
      <c r="S199" s="39">
        <v>60</v>
      </c>
      <c r="U199" s="13"/>
      <c r="V199" s="13"/>
      <c r="W199" s="13"/>
      <c r="X199" s="13"/>
    </row>
    <row r="200" spans="1:24" customFormat="1" x14ac:dyDescent="0.3">
      <c r="A200" s="13"/>
      <c r="B200" s="13"/>
      <c r="C200" s="13"/>
      <c r="D200" s="13" t="s">
        <v>0</v>
      </c>
      <c r="E200" s="13"/>
      <c r="F200" s="13"/>
      <c r="G200" s="13"/>
      <c r="H200" s="27"/>
      <c r="I200" s="27"/>
      <c r="J200" s="27"/>
      <c r="K200" s="39">
        <v>62.819715003896391</v>
      </c>
      <c r="L200" s="39">
        <v>62.467250628409346</v>
      </c>
      <c r="M200" s="39">
        <v>62.114786252922293</v>
      </c>
      <c r="N200" s="39">
        <v>61.762321877435241</v>
      </c>
      <c r="O200" s="39">
        <v>61.409857501948196</v>
      </c>
      <c r="P200" s="39">
        <v>61.05739312646115</v>
      </c>
      <c r="Q200" s="39">
        <v>60.704928750974098</v>
      </c>
      <c r="R200" s="39">
        <v>60.352464375487045</v>
      </c>
      <c r="S200" s="39">
        <v>60</v>
      </c>
      <c r="U200" s="13"/>
      <c r="V200" s="13"/>
      <c r="W200" s="13"/>
      <c r="X200" s="13"/>
    </row>
    <row r="202" spans="1:24" customFormat="1" ht="17.5" thickBot="1" x14ac:dyDescent="0.45">
      <c r="C202" s="2" t="s">
        <v>52</v>
      </c>
      <c r="D202" s="2"/>
    </row>
    <row r="203" spans="1:24" customFormat="1" ht="13.5" thickTop="1" x14ac:dyDescent="0.3">
      <c r="A203" s="13"/>
      <c r="B203" s="13"/>
      <c r="C203" s="13"/>
      <c r="D203" s="13" t="s">
        <v>42</v>
      </c>
      <c r="E203" s="13"/>
      <c r="F203" s="13"/>
      <c r="G203" s="13"/>
      <c r="H203" s="36"/>
      <c r="I203" s="37"/>
      <c r="J203" s="37"/>
      <c r="K203" s="7">
        <f>K191+0.5%</f>
        <v>5.0398268904059677E-2</v>
      </c>
      <c r="L203" s="7">
        <f t="shared" ref="L203:S204" si="123">L191+0.5%</f>
        <v>4.8473485291052214E-2</v>
      </c>
      <c r="M203" s="7">
        <f t="shared" si="123"/>
        <v>4.6548701678044757E-2</v>
      </c>
      <c r="N203" s="7">
        <f t="shared" si="123"/>
        <v>4.46239180650373E-2</v>
      </c>
      <c r="O203" s="7">
        <f t="shared" si="123"/>
        <v>4.2699134452029837E-2</v>
      </c>
      <c r="P203" s="7">
        <f t="shared" si="123"/>
        <v>4.0774350839022373E-2</v>
      </c>
      <c r="Q203" s="7">
        <f t="shared" si="123"/>
        <v>3.8849567226014917E-2</v>
      </c>
      <c r="R203" s="7">
        <f t="shared" si="123"/>
        <v>3.692478361300746E-2</v>
      </c>
      <c r="S203" s="7">
        <f t="shared" si="123"/>
        <v>3.4999999999999996E-2</v>
      </c>
      <c r="U203" s="13"/>
      <c r="V203" s="13"/>
      <c r="W203" s="13"/>
      <c r="X203" s="13"/>
    </row>
    <row r="204" spans="1:24" customFormat="1" x14ac:dyDescent="0.3">
      <c r="A204" s="13"/>
      <c r="B204" s="13"/>
      <c r="C204" s="13"/>
      <c r="D204" s="13" t="s">
        <v>3</v>
      </c>
      <c r="E204" s="13"/>
      <c r="F204" s="13"/>
      <c r="G204" s="13"/>
      <c r="H204" s="37"/>
      <c r="I204" s="37"/>
      <c r="J204" s="37"/>
      <c r="K204" s="7">
        <f>K192+0.5%</f>
        <v>0.30784633481545615</v>
      </c>
      <c r="L204" s="7">
        <f t="shared" si="123"/>
        <v>0.30749054296352413</v>
      </c>
      <c r="M204" s="7">
        <f t="shared" si="123"/>
        <v>0.30713475111159211</v>
      </c>
      <c r="N204" s="7">
        <f t="shared" si="123"/>
        <v>0.30677895925966009</v>
      </c>
      <c r="O204" s="7">
        <f t="shared" si="123"/>
        <v>0.30642316740772807</v>
      </c>
      <c r="P204" s="7">
        <f t="shared" si="123"/>
        <v>0.30606737555579605</v>
      </c>
      <c r="Q204" s="7">
        <f t="shared" si="123"/>
        <v>0.30571158370386403</v>
      </c>
      <c r="R204" s="7">
        <f t="shared" si="123"/>
        <v>0.30535579185193201</v>
      </c>
      <c r="S204" s="7">
        <f t="shared" si="123"/>
        <v>0.30499999999999999</v>
      </c>
      <c r="U204" s="13"/>
      <c r="V204" s="13"/>
      <c r="W204" s="13"/>
      <c r="X204" s="13"/>
    </row>
    <row r="205" spans="1:24" customFormat="1" x14ac:dyDescent="0.3">
      <c r="A205" s="13"/>
      <c r="B205" s="13"/>
      <c r="C205" s="13"/>
      <c r="D205" s="13" t="s">
        <v>37</v>
      </c>
      <c r="E205" s="13"/>
      <c r="F205" s="13"/>
      <c r="G205" s="13"/>
      <c r="H205" s="36"/>
      <c r="I205" s="37"/>
      <c r="J205" s="37"/>
      <c r="K205" s="7">
        <v>0.14210452702559748</v>
      </c>
      <c r="L205" s="7">
        <v>0.14209146114739779</v>
      </c>
      <c r="M205" s="7">
        <v>0.1420783952691981</v>
      </c>
      <c r="N205" s="7">
        <v>0.14206532939099842</v>
      </c>
      <c r="O205" s="7">
        <v>0.14205226351279873</v>
      </c>
      <c r="P205" s="7">
        <v>0.14203919763459905</v>
      </c>
      <c r="Q205" s="7">
        <v>0.14202613175639936</v>
      </c>
      <c r="R205" s="7">
        <v>0.14201306587819967</v>
      </c>
      <c r="S205" s="38">
        <v>0.14199999999999999</v>
      </c>
      <c r="U205" s="13"/>
      <c r="V205" s="13"/>
      <c r="W205" s="13"/>
      <c r="X205" s="13"/>
    </row>
    <row r="206" spans="1:24" customFormat="1" x14ac:dyDescent="0.3">
      <c r="A206" s="13"/>
      <c r="B206" s="13"/>
      <c r="C206" s="13"/>
      <c r="D206" s="13" t="s">
        <v>43</v>
      </c>
      <c r="E206" s="13"/>
      <c r="F206" s="13"/>
      <c r="G206" s="13"/>
      <c r="H206" s="37"/>
      <c r="I206" s="37"/>
      <c r="J206" s="37"/>
      <c r="K206" s="7">
        <f>K194-0.5%</f>
        <v>6.5309471641781802E-2</v>
      </c>
      <c r="L206" s="7">
        <f t="shared" ref="L206:S206" si="124">L194-0.5%</f>
        <v>6.1520787686559088E-2</v>
      </c>
      <c r="M206" s="7">
        <f t="shared" si="124"/>
        <v>5.7732103731336366E-2</v>
      </c>
      <c r="N206" s="7">
        <f t="shared" si="124"/>
        <v>5.3943419776113638E-2</v>
      </c>
      <c r="O206" s="7">
        <f t="shared" si="124"/>
        <v>5.015473582089091E-2</v>
      </c>
      <c r="P206" s="7">
        <f t="shared" si="124"/>
        <v>4.6366051865668181E-2</v>
      </c>
      <c r="Q206" s="7">
        <f t="shared" si="124"/>
        <v>4.2577367910445453E-2</v>
      </c>
      <c r="R206" s="7">
        <f t="shared" si="124"/>
        <v>3.8788683955222732E-2</v>
      </c>
      <c r="S206" s="7">
        <f t="shared" si="124"/>
        <v>3.5000000000000003E-2</v>
      </c>
      <c r="U206" s="13"/>
      <c r="V206" s="13"/>
      <c r="W206" s="13"/>
      <c r="X206" s="13"/>
    </row>
    <row r="207" spans="1:24" customFormat="1" x14ac:dyDescent="0.3">
      <c r="A207" s="13"/>
      <c r="B207" s="13"/>
      <c r="C207" s="13"/>
      <c r="D207" s="13" t="s">
        <v>44</v>
      </c>
      <c r="E207" s="13"/>
      <c r="F207" s="13"/>
      <c r="G207" s="13"/>
      <c r="H207" s="37"/>
      <c r="I207" s="37"/>
      <c r="J207" s="37"/>
      <c r="K207" s="7">
        <v>2.7736651686375699E-3</v>
      </c>
      <c r="L207" s="7">
        <v>3.0519570225578736E-3</v>
      </c>
      <c r="M207" s="7">
        <v>3.3302488764781774E-3</v>
      </c>
      <c r="N207" s="7">
        <v>3.6085407303984812E-3</v>
      </c>
      <c r="O207" s="7">
        <v>3.886832584318785E-3</v>
      </c>
      <c r="P207" s="7">
        <v>4.1651244382390883E-3</v>
      </c>
      <c r="Q207" s="7">
        <v>4.4434162921593925E-3</v>
      </c>
      <c r="R207" s="7">
        <v>4.7217081460796968E-3</v>
      </c>
      <c r="S207" s="7">
        <v>5.0000000000000001E-3</v>
      </c>
      <c r="U207" s="13"/>
      <c r="V207" s="13"/>
      <c r="W207" s="13"/>
      <c r="X207" s="13"/>
    </row>
    <row r="208" spans="1:24" customFormat="1" x14ac:dyDescent="0.3">
      <c r="A208" s="13"/>
      <c r="B208" s="13"/>
      <c r="C208" s="13"/>
      <c r="D208" s="13" t="s">
        <v>45</v>
      </c>
      <c r="E208" s="13"/>
      <c r="F208" s="13"/>
      <c r="G208" s="13"/>
      <c r="H208" s="37"/>
      <c r="I208" s="37"/>
      <c r="J208" s="37"/>
      <c r="K208" s="7">
        <v>1.2156358619837846</v>
      </c>
      <c r="L208" s="7">
        <v>1.1761813792358116</v>
      </c>
      <c r="M208" s="7">
        <v>1.1367268964878385</v>
      </c>
      <c r="N208" s="7">
        <v>1.0972724137398655</v>
      </c>
      <c r="O208" s="7">
        <v>1.0578179309918925</v>
      </c>
      <c r="P208" s="7">
        <v>1.0183634482439194</v>
      </c>
      <c r="Q208" s="7">
        <v>0.9789089654959463</v>
      </c>
      <c r="R208" s="7">
        <v>0.93945448274797316</v>
      </c>
      <c r="S208" s="7">
        <v>0.9</v>
      </c>
      <c r="U208" s="13"/>
      <c r="V208" s="13"/>
      <c r="W208" s="13"/>
      <c r="X208" s="13"/>
    </row>
    <row r="209" spans="1:24" customFormat="1" x14ac:dyDescent="0.3">
      <c r="A209" s="13"/>
      <c r="B209" s="13"/>
      <c r="C209" s="13"/>
      <c r="D209" s="13" t="s">
        <v>46</v>
      </c>
      <c r="E209" s="13"/>
      <c r="F209" s="13"/>
      <c r="G209" s="13"/>
      <c r="H209" s="37"/>
      <c r="I209" s="37"/>
      <c r="J209" s="37"/>
      <c r="K209" s="7">
        <v>2.2917391061329608</v>
      </c>
      <c r="L209" s="7">
        <v>2.1240217178663405</v>
      </c>
      <c r="M209" s="7">
        <v>1.9563043295997204</v>
      </c>
      <c r="N209" s="7">
        <v>1.7885869413331004</v>
      </c>
      <c r="O209" s="7">
        <v>1.6208695530664803</v>
      </c>
      <c r="P209" s="7">
        <v>1.4531521647998602</v>
      </c>
      <c r="Q209" s="7">
        <v>1.2854347765332401</v>
      </c>
      <c r="R209" s="7">
        <v>1.11771738826662</v>
      </c>
      <c r="S209" s="7">
        <v>0.95</v>
      </c>
      <c r="U209" s="13"/>
      <c r="V209" s="13"/>
      <c r="W209" s="13"/>
      <c r="X209" s="13"/>
    </row>
    <row r="210" spans="1:24" customFormat="1" x14ac:dyDescent="0.3">
      <c r="A210" s="13"/>
      <c r="B210" s="13"/>
      <c r="C210" s="13"/>
      <c r="D210" s="13" t="s">
        <v>1</v>
      </c>
      <c r="E210" s="13"/>
      <c r="F210" s="13"/>
      <c r="G210" s="13"/>
      <c r="H210" s="27"/>
      <c r="I210" s="27"/>
      <c r="J210" s="27"/>
      <c r="K210" s="39">
        <v>91.029789060730437</v>
      </c>
      <c r="L210" s="39">
        <v>90.901065428139134</v>
      </c>
      <c r="M210" s="39">
        <v>90.772341795547831</v>
      </c>
      <c r="N210" s="39">
        <v>90.643618162956528</v>
      </c>
      <c r="O210" s="39">
        <v>90.514894530365225</v>
      </c>
      <c r="P210" s="39">
        <v>90.386170897773923</v>
      </c>
      <c r="Q210" s="39">
        <v>90.25744726518262</v>
      </c>
      <c r="R210" s="39">
        <v>90.128723632591317</v>
      </c>
      <c r="S210" s="39">
        <v>90</v>
      </c>
      <c r="U210" s="13"/>
      <c r="V210" s="13"/>
      <c r="W210" s="13"/>
      <c r="X210" s="13"/>
    </row>
    <row r="211" spans="1:24" customFormat="1" x14ac:dyDescent="0.3">
      <c r="A211" s="13"/>
      <c r="B211" s="13"/>
      <c r="C211" s="13"/>
      <c r="D211" s="13" t="s">
        <v>2</v>
      </c>
      <c r="E211" s="13"/>
      <c r="F211" s="13"/>
      <c r="G211" s="13"/>
      <c r="H211" s="27"/>
      <c r="I211" s="27"/>
      <c r="J211" s="27"/>
      <c r="K211" s="39">
        <v>55.646449606703115</v>
      </c>
      <c r="L211" s="39">
        <v>56.190643405865224</v>
      </c>
      <c r="M211" s="39">
        <v>56.734837205027333</v>
      </c>
      <c r="N211" s="39">
        <v>57.279031004189441</v>
      </c>
      <c r="O211" s="39">
        <v>57.82322480335155</v>
      </c>
      <c r="P211" s="39">
        <v>58.367418602513666</v>
      </c>
      <c r="Q211" s="39">
        <v>58.911612401675775</v>
      </c>
      <c r="R211" s="39">
        <v>59.455806200837884</v>
      </c>
      <c r="S211" s="39">
        <v>60</v>
      </c>
      <c r="U211" s="13"/>
      <c r="V211" s="13"/>
      <c r="W211" s="13"/>
      <c r="X211" s="13"/>
    </row>
    <row r="212" spans="1:24" customFormat="1" x14ac:dyDescent="0.3">
      <c r="A212" s="13"/>
      <c r="B212" s="13"/>
      <c r="C212" s="13"/>
      <c r="D212" s="13" t="s">
        <v>0</v>
      </c>
      <c r="E212" s="13"/>
      <c r="F212" s="13"/>
      <c r="G212" s="13"/>
      <c r="H212" s="27"/>
      <c r="I212" s="27"/>
      <c r="J212" s="27"/>
      <c r="K212" s="39">
        <v>62.819715003896391</v>
      </c>
      <c r="L212" s="39">
        <v>62.467250628409346</v>
      </c>
      <c r="M212" s="39">
        <v>62.114786252922293</v>
      </c>
      <c r="N212" s="39">
        <v>61.762321877435241</v>
      </c>
      <c r="O212" s="39">
        <v>61.409857501948196</v>
      </c>
      <c r="P212" s="39">
        <v>61.05739312646115</v>
      </c>
      <c r="Q212" s="39">
        <v>60.704928750974098</v>
      </c>
      <c r="R212" s="39">
        <v>60.352464375487045</v>
      </c>
      <c r="S212" s="39">
        <v>60</v>
      </c>
      <c r="U212" s="13"/>
      <c r="V212" s="13"/>
      <c r="W212" s="13"/>
      <c r="X212" s="13"/>
    </row>
    <row r="214" spans="1:24" customFormat="1" ht="17.5" thickBot="1" x14ac:dyDescent="0.45">
      <c r="C214" s="2" t="s">
        <v>53</v>
      </c>
      <c r="D214" s="2"/>
    </row>
    <row r="215" spans="1:24" customFormat="1" ht="13.5" thickTop="1" x14ac:dyDescent="0.3">
      <c r="A215" s="13"/>
      <c r="B215" s="13"/>
      <c r="C215" s="13"/>
      <c r="D215" s="13" t="s">
        <v>42</v>
      </c>
      <c r="E215" s="13"/>
      <c r="F215" s="13"/>
      <c r="G215" s="13"/>
      <c r="H215" s="36"/>
      <c r="I215" s="37"/>
      <c r="J215" s="37"/>
      <c r="K215" s="7">
        <f>K191-2%</f>
        <v>2.5398268904059679E-2</v>
      </c>
      <c r="L215" s="7">
        <f t="shared" ref="L215:S215" si="125">L191-2%</f>
        <v>2.3473485291052216E-2</v>
      </c>
      <c r="M215" s="7">
        <f t="shared" si="125"/>
        <v>2.1548701678044759E-2</v>
      </c>
      <c r="N215" s="7">
        <f t="shared" si="125"/>
        <v>1.9623918065037303E-2</v>
      </c>
      <c r="O215" s="7">
        <f t="shared" si="125"/>
        <v>1.7699134452029839E-2</v>
      </c>
      <c r="P215" s="7">
        <f t="shared" si="125"/>
        <v>1.5774350839022375E-2</v>
      </c>
      <c r="Q215" s="7">
        <f t="shared" si="125"/>
        <v>1.3849567226014919E-2</v>
      </c>
      <c r="R215" s="7">
        <f t="shared" si="125"/>
        <v>1.1924783613007462E-2</v>
      </c>
      <c r="S215" s="7">
        <f t="shared" si="125"/>
        <v>9.9999999999999985E-3</v>
      </c>
      <c r="U215" s="13"/>
      <c r="V215" s="13"/>
      <c r="W215" s="13"/>
      <c r="X215" s="13"/>
    </row>
    <row r="216" spans="1:24" customFormat="1" x14ac:dyDescent="0.3">
      <c r="A216" s="13"/>
      <c r="B216" s="13"/>
      <c r="C216" s="13"/>
      <c r="D216" s="13" t="s">
        <v>3</v>
      </c>
      <c r="E216" s="13"/>
      <c r="F216" s="13"/>
      <c r="G216" s="13"/>
      <c r="H216" s="37"/>
      <c r="I216" s="37"/>
      <c r="J216" s="37"/>
      <c r="K216" s="7">
        <f>K192-1.5%</f>
        <v>0.28784633481545613</v>
      </c>
      <c r="L216" s="7">
        <f t="shared" ref="L216:S216" si="126">L192-1.5%</f>
        <v>0.28749054296352411</v>
      </c>
      <c r="M216" s="7">
        <f t="shared" si="126"/>
        <v>0.28713475111159209</v>
      </c>
      <c r="N216" s="7">
        <f t="shared" si="126"/>
        <v>0.28677895925966007</v>
      </c>
      <c r="O216" s="7">
        <f t="shared" si="126"/>
        <v>0.28642316740772805</v>
      </c>
      <c r="P216" s="7">
        <f t="shared" si="126"/>
        <v>0.28606737555579603</v>
      </c>
      <c r="Q216" s="7">
        <f t="shared" si="126"/>
        <v>0.28571158370386401</v>
      </c>
      <c r="R216" s="7">
        <f t="shared" si="126"/>
        <v>0.28535579185193199</v>
      </c>
      <c r="S216" s="7">
        <f t="shared" si="126"/>
        <v>0.28499999999999998</v>
      </c>
      <c r="U216" s="13"/>
      <c r="V216" s="13"/>
      <c r="W216" s="13"/>
      <c r="X216" s="13"/>
    </row>
    <row r="217" spans="1:24" customFormat="1" x14ac:dyDescent="0.3">
      <c r="A217" s="13"/>
      <c r="B217" s="13"/>
      <c r="C217" s="13"/>
      <c r="D217" s="13" t="s">
        <v>37</v>
      </c>
      <c r="E217" s="13"/>
      <c r="F217" s="13"/>
      <c r="G217" s="13"/>
      <c r="H217" s="36"/>
      <c r="I217" s="37"/>
      <c r="J217" s="37"/>
      <c r="K217" s="7">
        <v>0.14210452702559748</v>
      </c>
      <c r="L217" s="7">
        <v>0.14209146114739779</v>
      </c>
      <c r="M217" s="7">
        <v>0.1420783952691981</v>
      </c>
      <c r="N217" s="7">
        <v>0.14206532939099842</v>
      </c>
      <c r="O217" s="7">
        <v>0.14205226351279873</v>
      </c>
      <c r="P217" s="7">
        <v>0.14203919763459905</v>
      </c>
      <c r="Q217" s="7">
        <v>0.14202613175639936</v>
      </c>
      <c r="R217" s="7">
        <v>0.14201306587819967</v>
      </c>
      <c r="S217" s="38">
        <v>0.14199999999999999</v>
      </c>
      <c r="U217" s="13"/>
      <c r="V217" s="13"/>
      <c r="W217" s="13"/>
      <c r="X217" s="13"/>
    </row>
    <row r="218" spans="1:24" customFormat="1" x14ac:dyDescent="0.3">
      <c r="A218" s="13"/>
      <c r="B218" s="13"/>
      <c r="C218" s="13"/>
      <c r="D218" s="13" t="s">
        <v>43</v>
      </c>
      <c r="E218" s="13"/>
      <c r="F218" s="13"/>
      <c r="G218" s="13"/>
      <c r="H218" s="37"/>
      <c r="I218" s="37"/>
      <c r="J218" s="37"/>
      <c r="K218" s="7">
        <f>K194+1%</f>
        <v>8.0309471641781802E-2</v>
      </c>
      <c r="L218" s="7">
        <f t="shared" ref="L218:S218" si="127">L194+1%</f>
        <v>7.652078768655908E-2</v>
      </c>
      <c r="M218" s="7">
        <f t="shared" si="127"/>
        <v>7.2732103731336359E-2</v>
      </c>
      <c r="N218" s="7">
        <f t="shared" si="127"/>
        <v>6.8943419776113637E-2</v>
      </c>
      <c r="O218" s="7">
        <f t="shared" si="127"/>
        <v>6.5154735820890902E-2</v>
      </c>
      <c r="P218" s="7">
        <f t="shared" si="127"/>
        <v>6.1366051865668181E-2</v>
      </c>
      <c r="Q218" s="7">
        <f t="shared" si="127"/>
        <v>5.7577367910445452E-2</v>
      </c>
      <c r="R218" s="7">
        <f t="shared" si="127"/>
        <v>5.3788683955222731E-2</v>
      </c>
      <c r="S218" s="7">
        <f t="shared" si="127"/>
        <v>0.05</v>
      </c>
      <c r="U218" s="13"/>
      <c r="V218" s="13"/>
      <c r="W218" s="13"/>
      <c r="X218" s="13"/>
    </row>
    <row r="219" spans="1:24" customFormat="1" x14ac:dyDescent="0.3">
      <c r="A219" s="13"/>
      <c r="B219" s="13"/>
      <c r="C219" s="13"/>
      <c r="D219" s="13" t="s">
        <v>44</v>
      </c>
      <c r="E219" s="13"/>
      <c r="F219" s="13"/>
      <c r="G219" s="13"/>
      <c r="H219" s="37"/>
      <c r="I219" s="37"/>
      <c r="J219" s="37"/>
      <c r="K219" s="7">
        <v>2.7736651686375699E-3</v>
      </c>
      <c r="L219" s="7">
        <v>3.0519570225578736E-3</v>
      </c>
      <c r="M219" s="7">
        <v>3.3302488764781774E-3</v>
      </c>
      <c r="N219" s="7">
        <v>3.6085407303984812E-3</v>
      </c>
      <c r="O219" s="7">
        <v>3.886832584318785E-3</v>
      </c>
      <c r="P219" s="7">
        <v>4.1651244382390883E-3</v>
      </c>
      <c r="Q219" s="7">
        <v>4.4434162921593925E-3</v>
      </c>
      <c r="R219" s="7">
        <v>4.7217081460796968E-3</v>
      </c>
      <c r="S219" s="7">
        <v>5.0000000000000001E-3</v>
      </c>
      <c r="U219" s="13"/>
      <c r="V219" s="13"/>
      <c r="W219" s="13"/>
      <c r="X219" s="13"/>
    </row>
    <row r="220" spans="1:24" customFormat="1" x14ac:dyDescent="0.3">
      <c r="A220" s="13"/>
      <c r="B220" s="13"/>
      <c r="C220" s="13"/>
      <c r="D220" s="13" t="s">
        <v>45</v>
      </c>
      <c r="E220" s="13"/>
      <c r="F220" s="13"/>
      <c r="G220" s="13"/>
      <c r="H220" s="37"/>
      <c r="I220" s="37"/>
      <c r="J220" s="37"/>
      <c r="K220" s="7">
        <v>1.2156358619837846</v>
      </c>
      <c r="L220" s="7">
        <v>1.1761813792358116</v>
      </c>
      <c r="M220" s="7">
        <v>1.1367268964878385</v>
      </c>
      <c r="N220" s="7">
        <v>1.0972724137398655</v>
      </c>
      <c r="O220" s="7">
        <v>1.0578179309918925</v>
      </c>
      <c r="P220" s="7">
        <v>1.0183634482439194</v>
      </c>
      <c r="Q220" s="7">
        <v>0.9789089654959463</v>
      </c>
      <c r="R220" s="7">
        <v>0.93945448274797316</v>
      </c>
      <c r="S220" s="7">
        <v>0.9</v>
      </c>
      <c r="U220" s="13"/>
      <c r="V220" s="13"/>
      <c r="W220" s="13"/>
      <c r="X220" s="13"/>
    </row>
    <row r="221" spans="1:24" customFormat="1" x14ac:dyDescent="0.3">
      <c r="A221" s="13"/>
      <c r="B221" s="13"/>
      <c r="C221" s="13"/>
      <c r="D221" s="13" t="s">
        <v>46</v>
      </c>
      <c r="E221" s="13"/>
      <c r="F221" s="13"/>
      <c r="G221" s="13"/>
      <c r="H221" s="37"/>
      <c r="I221" s="37"/>
      <c r="J221" s="37"/>
      <c r="K221" s="7">
        <v>2.2917391061329608</v>
      </c>
      <c r="L221" s="7">
        <v>2.1240217178663405</v>
      </c>
      <c r="M221" s="7">
        <v>1.9563043295997204</v>
      </c>
      <c r="N221" s="7">
        <v>1.7885869413331004</v>
      </c>
      <c r="O221" s="7">
        <v>1.6208695530664803</v>
      </c>
      <c r="P221" s="7">
        <v>1.4531521647998602</v>
      </c>
      <c r="Q221" s="7">
        <v>1.2854347765332401</v>
      </c>
      <c r="R221" s="7">
        <v>1.11771738826662</v>
      </c>
      <c r="S221" s="7">
        <v>0.95</v>
      </c>
      <c r="U221" s="13"/>
      <c r="V221" s="13"/>
      <c r="W221" s="13"/>
      <c r="X221" s="13"/>
    </row>
    <row r="222" spans="1:24" customFormat="1" x14ac:dyDescent="0.3">
      <c r="A222" s="13"/>
      <c r="B222" s="13"/>
      <c r="C222" s="13"/>
      <c r="D222" s="13" t="s">
        <v>1</v>
      </c>
      <c r="E222" s="13"/>
      <c r="F222" s="13"/>
      <c r="G222" s="13"/>
      <c r="H222" s="27"/>
      <c r="I222" s="27"/>
      <c r="J222" s="27"/>
      <c r="K222" s="39">
        <v>91.029789060730437</v>
      </c>
      <c r="L222" s="39">
        <v>90.901065428139134</v>
      </c>
      <c r="M222" s="39">
        <v>90.772341795547831</v>
      </c>
      <c r="N222" s="39">
        <v>90.643618162956528</v>
      </c>
      <c r="O222" s="39">
        <v>90.514894530365225</v>
      </c>
      <c r="P222" s="39">
        <v>90.386170897773923</v>
      </c>
      <c r="Q222" s="39">
        <v>90.25744726518262</v>
      </c>
      <c r="R222" s="39">
        <v>90.128723632591317</v>
      </c>
      <c r="S222" s="39">
        <v>90</v>
      </c>
      <c r="U222" s="13"/>
      <c r="V222" s="13"/>
      <c r="W222" s="13"/>
      <c r="X222" s="13"/>
    </row>
    <row r="223" spans="1:24" customFormat="1" x14ac:dyDescent="0.3">
      <c r="A223" s="13"/>
      <c r="B223" s="13"/>
      <c r="C223" s="13"/>
      <c r="D223" s="13" t="s">
        <v>2</v>
      </c>
      <c r="E223" s="13"/>
      <c r="F223" s="13"/>
      <c r="G223" s="13"/>
      <c r="H223" s="27"/>
      <c r="I223" s="27"/>
      <c r="J223" s="27"/>
      <c r="K223" s="39">
        <v>55.646449606703115</v>
      </c>
      <c r="L223" s="39">
        <v>56.190643405865224</v>
      </c>
      <c r="M223" s="39">
        <v>56.734837205027333</v>
      </c>
      <c r="N223" s="39">
        <v>57.279031004189441</v>
      </c>
      <c r="O223" s="39">
        <v>57.82322480335155</v>
      </c>
      <c r="P223" s="39">
        <v>58.367418602513666</v>
      </c>
      <c r="Q223" s="39">
        <v>58.911612401675775</v>
      </c>
      <c r="R223" s="39">
        <v>59.455806200837884</v>
      </c>
      <c r="S223" s="39">
        <v>60</v>
      </c>
      <c r="U223" s="13"/>
      <c r="V223" s="13"/>
      <c r="W223" s="13"/>
      <c r="X223" s="13"/>
    </row>
    <row r="224" spans="1:24" customFormat="1" x14ac:dyDescent="0.3">
      <c r="A224" s="13"/>
      <c r="B224" s="13"/>
      <c r="C224" s="13"/>
      <c r="D224" s="13" t="s">
        <v>0</v>
      </c>
      <c r="E224" s="13"/>
      <c r="F224" s="13"/>
      <c r="G224" s="13"/>
      <c r="H224" s="27"/>
      <c r="I224" s="27"/>
      <c r="J224" s="27"/>
      <c r="K224" s="39">
        <v>62.819715003896391</v>
      </c>
      <c r="L224" s="39">
        <v>62.467250628409346</v>
      </c>
      <c r="M224" s="39">
        <v>62.114786252922293</v>
      </c>
      <c r="N224" s="39">
        <v>61.762321877435241</v>
      </c>
      <c r="O224" s="39">
        <v>61.409857501948196</v>
      </c>
      <c r="P224" s="39">
        <v>61.05739312646115</v>
      </c>
      <c r="Q224" s="39">
        <v>60.704928750974098</v>
      </c>
      <c r="R224" s="39">
        <v>60.352464375487045</v>
      </c>
      <c r="S224" s="39">
        <v>60</v>
      </c>
      <c r="U224" s="13"/>
      <c r="V224" s="13"/>
      <c r="W224" s="13"/>
      <c r="X224" s="13"/>
    </row>
  </sheetData>
  <conditionalFormatting sqref="M11:S16 M10 O10:S10 O4:P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dataValidations disablePrompts="1" count="2">
    <dataValidation type="list" allowBlank="1" showInputMessage="1" showErrorMessage="1" sqref="K32:K35" xr:uid="{E03AA8A8-9C2A-4FEC-96D0-6CAB1EC07ECB}">
      <formula1>"Amort,Bullet"</formula1>
    </dataValidation>
    <dataValidation type="list" allowBlank="1" showInputMessage="1" showErrorMessage="1" sqref="F137" xr:uid="{0D3BBA84-9E14-4027-B87A-3F0953F07E03}">
      <formula1>"0,1"</formula1>
    </dataValidation>
  </dataValidations>
  <pageMargins left="0.7" right="0.7" top="0.75" bottom="0.75" header="0.3" footer="0.3"/>
  <pageSetup paperSize="9" orientation="portrait" horizontalDpi="4294967293" verticalDpi="0" r:id="rId1"/>
  <ignoredErrors>
    <ignoredError sqref="I33:I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C518-70AD-4CF5-B517-1910C9F5116B}">
  <dimension ref="A1:T15"/>
  <sheetViews>
    <sheetView zoomScale="145" zoomScaleNormal="14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D6" sqref="D6:F6"/>
    </sheetView>
  </sheetViews>
  <sheetFormatPr defaultColWidth="0" defaultRowHeight="13" x14ac:dyDescent="0.3"/>
  <cols>
    <col min="1" max="3" width="1.69921875" style="49" customWidth="1"/>
    <col min="4" max="4" width="22.3984375" customWidth="1"/>
    <col min="5" max="5" width="1.69921875" customWidth="1"/>
    <col min="6" max="6" width="9.09765625" customWidth="1"/>
    <col min="7" max="7" width="1.69921875" customWidth="1"/>
    <col min="8" max="20" width="9.09765625" customWidth="1"/>
    <col min="21" max="16384" width="9.09765625" hidden="1"/>
  </cols>
  <sheetData>
    <row r="1" spans="4:19" x14ac:dyDescent="0.3">
      <c r="D1" t="str">
        <f>IF(F3=0,"All - OK","Error")</f>
        <v>Error</v>
      </c>
      <c r="H1" s="50">
        <f>LBO!H1</f>
        <v>44196</v>
      </c>
      <c r="I1" s="50">
        <f>LBO!I1</f>
        <v>44561</v>
      </c>
      <c r="J1" s="50">
        <f>LBO!J1</f>
        <v>44926</v>
      </c>
      <c r="K1" s="50">
        <f>LBO!K1</f>
        <v>45291</v>
      </c>
      <c r="L1" s="50">
        <f>LBO!L1</f>
        <v>45657</v>
      </c>
      <c r="M1" s="50">
        <f>LBO!M1</f>
        <v>46022</v>
      </c>
      <c r="N1" s="50">
        <f>LBO!N1</f>
        <v>46387</v>
      </c>
      <c r="O1" s="50">
        <f>LBO!O1</f>
        <v>46752</v>
      </c>
      <c r="P1" s="50">
        <f>LBO!P1</f>
        <v>47118</v>
      </c>
      <c r="Q1" s="50">
        <f>LBO!Q1</f>
        <v>47483</v>
      </c>
      <c r="R1" s="50">
        <f>LBO!R1</f>
        <v>47848</v>
      </c>
      <c r="S1" s="50">
        <f>LBO!S1</f>
        <v>48213</v>
      </c>
    </row>
    <row r="2" spans="4:19" x14ac:dyDescent="0.3">
      <c r="H2">
        <f>LBO!H2</f>
        <v>-3</v>
      </c>
      <c r="I2">
        <f>LBO!I2</f>
        <v>-2</v>
      </c>
      <c r="J2">
        <f>LBO!J2</f>
        <v>-1</v>
      </c>
      <c r="K2">
        <f>LBO!K2</f>
        <v>0</v>
      </c>
      <c r="L2">
        <f>LBO!L2</f>
        <v>1</v>
      </c>
      <c r="M2">
        <f>LBO!M2</f>
        <v>2</v>
      </c>
      <c r="N2">
        <f>LBO!N2</f>
        <v>3</v>
      </c>
      <c r="O2">
        <f>LBO!O2</f>
        <v>4</v>
      </c>
      <c r="P2">
        <f>LBO!P2</f>
        <v>5</v>
      </c>
      <c r="Q2">
        <f>LBO!Q2</f>
        <v>6</v>
      </c>
      <c r="R2">
        <f>LBO!R2</f>
        <v>7</v>
      </c>
      <c r="S2">
        <f>LBO!S2</f>
        <v>8</v>
      </c>
    </row>
    <row r="3" spans="4:19" x14ac:dyDescent="0.3">
      <c r="D3" t="s">
        <v>123</v>
      </c>
      <c r="F3">
        <f>SUM(F5:F13)</f>
        <v>8</v>
      </c>
    </row>
    <row r="4" spans="4:19" x14ac:dyDescent="0.3">
      <c r="J4" s="52"/>
    </row>
    <row r="5" spans="4:19" x14ac:dyDescent="0.3">
      <c r="D5" t="s">
        <v>114</v>
      </c>
      <c r="F5">
        <f>IF(LBO!H37&gt;LBO!K9,0,1)</f>
        <v>0</v>
      </c>
    </row>
    <row r="6" spans="4:19" x14ac:dyDescent="0.3">
      <c r="D6" t="s">
        <v>115</v>
      </c>
      <c r="F6">
        <f>IF(LBO!I33&lt;=LBO!K7,0,1)</f>
        <v>0</v>
      </c>
    </row>
    <row r="7" spans="4:19" x14ac:dyDescent="0.3">
      <c r="D7" t="s">
        <v>116</v>
      </c>
      <c r="F7">
        <f>IF(LBO!I35&lt;=LBO!K8,0,1)</f>
        <v>0</v>
      </c>
    </row>
    <row r="8" spans="4:19" x14ac:dyDescent="0.3">
      <c r="D8" t="s">
        <v>119</v>
      </c>
      <c r="F8">
        <f>IF(LBO!F32&lt;=LBO!R32,0,1)</f>
        <v>0</v>
      </c>
    </row>
    <row r="9" spans="4:19" x14ac:dyDescent="0.3">
      <c r="D9" t="s">
        <v>120</v>
      </c>
      <c r="F9">
        <f>IF(LBO!F33&lt;=LBO!R33,0,1)</f>
        <v>0</v>
      </c>
    </row>
    <row r="10" spans="4:19" x14ac:dyDescent="0.3">
      <c r="D10" t="s">
        <v>121</v>
      </c>
      <c r="F10">
        <f>IF(LBO!F34&lt;=LBO!R34,0,1)</f>
        <v>0</v>
      </c>
    </row>
    <row r="11" spans="4:19" x14ac:dyDescent="0.3">
      <c r="D11" t="s">
        <v>122</v>
      </c>
      <c r="F11">
        <f>IF(LBO!F35&lt;=LBO!R35,0,1)</f>
        <v>0</v>
      </c>
    </row>
    <row r="12" spans="4:19" x14ac:dyDescent="0.3">
      <c r="D12" t="s">
        <v>132</v>
      </c>
      <c r="F12">
        <f>SUM(L12:S12)</f>
        <v>8</v>
      </c>
      <c r="H12" s="8"/>
      <c r="I12" s="8"/>
      <c r="J12" s="8"/>
      <c r="K12" s="8"/>
      <c r="L12">
        <f>IF(L14&gt;=$F$15,0,1)</f>
        <v>1</v>
      </c>
      <c r="M12">
        <f t="shared" ref="M12:S12" si="0">IF(M14&gt;=$F$15,0,1)</f>
        <v>1</v>
      </c>
      <c r="N12">
        <f t="shared" si="0"/>
        <v>1</v>
      </c>
      <c r="O12">
        <f t="shared" si="0"/>
        <v>1</v>
      </c>
      <c r="P12">
        <f t="shared" si="0"/>
        <v>1</v>
      </c>
      <c r="Q12">
        <f t="shared" si="0"/>
        <v>1</v>
      </c>
      <c r="R12">
        <f t="shared" si="0"/>
        <v>1</v>
      </c>
      <c r="S12">
        <f t="shared" si="0"/>
        <v>1</v>
      </c>
    </row>
    <row r="14" spans="4:19" x14ac:dyDescent="0.3">
      <c r="D14" t="str">
        <f>LBO!D102</f>
        <v>EBITDA/Interest Coverage</v>
      </c>
      <c r="H14">
        <f>LBO!H102</f>
        <v>0</v>
      </c>
      <c r="I14">
        <f>LBO!I102</f>
        <v>0</v>
      </c>
      <c r="J14">
        <f>LBO!J102</f>
        <v>0</v>
      </c>
      <c r="K14">
        <f>LBO!K102</f>
        <v>0</v>
      </c>
      <c r="L14">
        <f>LBO!L102</f>
        <v>0</v>
      </c>
      <c r="M14">
        <f>LBO!M102</f>
        <v>0</v>
      </c>
      <c r="N14">
        <f>LBO!N102</f>
        <v>0</v>
      </c>
      <c r="O14">
        <f>LBO!O102</f>
        <v>0</v>
      </c>
      <c r="P14">
        <f>LBO!P102</f>
        <v>0</v>
      </c>
      <c r="Q14">
        <f>LBO!Q102</f>
        <v>0</v>
      </c>
      <c r="R14">
        <f>LBO!R102</f>
        <v>0</v>
      </c>
      <c r="S14">
        <f>LBO!S102</f>
        <v>0</v>
      </c>
    </row>
    <row r="15" spans="4:19" x14ac:dyDescent="0.3">
      <c r="D15" t="str">
        <f>LBO!I14</f>
        <v>Minimum Interest Coverage</v>
      </c>
      <c r="F15">
        <f>LBO!K14</f>
        <v>4.5</v>
      </c>
    </row>
  </sheetData>
  <conditionalFormatting sqref="F3">
    <cfRule type="cellIs" dxfId="1" priority="3" operator="equal">
      <formula>1</formula>
    </cfRule>
  </conditionalFormatting>
  <conditionalFormatting sqref="F5:F12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LBO</vt:lpstr>
      <vt:lpstr>LBO Checks</vt:lpstr>
      <vt:lpstr>LBO!days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</cp:lastModifiedBy>
  <dcterms:created xsi:type="dcterms:W3CDTF">2018-09-29T18:23:22Z</dcterms:created>
  <dcterms:modified xsi:type="dcterms:W3CDTF">2024-02-19T20:20:44Z</dcterms:modified>
</cp:coreProperties>
</file>