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inn\Dropbox\^Digital Platforms\1. The Investment Analyst\2. Materials\Models\Full Models\Broken Model Case\"/>
    </mc:Choice>
  </mc:AlternateContent>
  <xr:revisionPtr revIDLastSave="0" documentId="13_ncr:1_{623A6D5A-1F7A-4255-915F-91D15B4FCD8C}" xr6:coauthVersionLast="47" xr6:coauthVersionMax="47" xr10:uidLastSave="{00000000-0000-0000-0000-000000000000}"/>
  <bookViews>
    <workbookView xWindow="-108" yWindow="17172" windowWidth="41496" windowHeight="16776" xr2:uid="{160EDA11-23FA-4EAA-AA70-E4AB275D26AD}"/>
  </bookViews>
  <sheets>
    <sheet name="Control" sheetId="1" r:id="rId1"/>
    <sheet name="IS" sheetId="4" r:id="rId2"/>
    <sheet name="CFS" sheetId="5" r:id="rId3"/>
    <sheet name="BS" sheetId="6" r:id="rId4"/>
    <sheet name="DCF" sheetId="7" r:id="rId5"/>
    <sheet name="TEMPLATE" sheetId="8" r:id="rId6"/>
  </sheets>
  <externalReferences>
    <externalReference r:id="rId7"/>
    <externalReference r:id="rId8"/>
  </externalReferences>
  <definedNames>
    <definedName name="CD">Control!$E$11</definedName>
    <definedName name="CoName">Control!$E$4</definedName>
    <definedName name="g">Control!$E$67</definedName>
    <definedName name="HYE">Control!$E$6</definedName>
    <definedName name="Stub">Control!$E$8</definedName>
    <definedName name="SwitchScenario">Control!$D$22</definedName>
    <definedName name="TaxRate">Control!$E$36</definedName>
    <definedName name="Tests">Control!$E$28</definedName>
    <definedName name="UEL">[1]Waterfall!$E$5</definedName>
    <definedName name="WACC">Control!$E$40</definedName>
    <definedName name="WOSG.L">[2]DCF!$B$104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5" i="1"/>
  <c r="E36" i="1"/>
  <c r="E31" i="1"/>
  <c r="E33" i="1"/>
  <c r="E37" i="1"/>
  <c r="I130" i="1"/>
  <c r="I131" i="1"/>
  <c r="I132" i="1"/>
  <c r="I129" i="1"/>
  <c r="H12" i="5"/>
  <c r="I12" i="5"/>
  <c r="J12" i="5"/>
  <c r="K12" i="5"/>
  <c r="L12" i="5"/>
  <c r="M12" i="5"/>
  <c r="N12" i="5"/>
  <c r="O12" i="5"/>
  <c r="P12" i="5"/>
  <c r="G12" i="5"/>
  <c r="C63" i="7"/>
  <c r="C64" i="7"/>
  <c r="E64" i="7"/>
  <c r="F64" i="7"/>
  <c r="E65" i="7"/>
  <c r="F65" i="7"/>
  <c r="G65" i="7"/>
  <c r="H65" i="7"/>
  <c r="I65" i="7"/>
  <c r="J65" i="7"/>
  <c r="K65" i="7"/>
  <c r="L65" i="7"/>
  <c r="M65" i="7"/>
  <c r="N65" i="7"/>
  <c r="O65" i="7"/>
  <c r="P65" i="7"/>
  <c r="H147" i="1"/>
  <c r="G147" i="1" s="1"/>
  <c r="F147" i="1" s="1"/>
  <c r="C144" i="1"/>
  <c r="F3" i="4"/>
  <c r="G3" i="4"/>
  <c r="H3" i="4"/>
  <c r="I3" i="4"/>
  <c r="J3" i="4"/>
  <c r="K3" i="4"/>
  <c r="L3" i="4"/>
  <c r="M3" i="4"/>
  <c r="N3" i="4"/>
  <c r="O3" i="4"/>
  <c r="P3" i="4"/>
  <c r="E3" i="4"/>
  <c r="E76" i="1"/>
  <c r="C61" i="1"/>
  <c r="C62" i="1"/>
  <c r="G53" i="1"/>
  <c r="I53" i="1"/>
  <c r="J53" i="1"/>
  <c r="G54" i="1"/>
  <c r="I54" i="1"/>
  <c r="J54" i="1"/>
  <c r="G52" i="1"/>
  <c r="I52" i="1"/>
  <c r="J52" i="1"/>
  <c r="G55" i="1"/>
  <c r="I55" i="1"/>
  <c r="J55" i="1"/>
  <c r="F55" i="1"/>
  <c r="F52" i="1"/>
  <c r="F54" i="1"/>
  <c r="F53" i="1"/>
  <c r="H46" i="1"/>
  <c r="K46" i="1" s="1"/>
  <c r="H47" i="1"/>
  <c r="K47" i="1" s="1"/>
  <c r="H48" i="1"/>
  <c r="K48" i="1" s="1"/>
  <c r="H49" i="1"/>
  <c r="K49" i="1" s="1"/>
  <c r="H50" i="1"/>
  <c r="K50" i="1" s="1"/>
  <c r="H45" i="1"/>
  <c r="E39" i="1"/>
  <c r="E61" i="1"/>
  <c r="C22" i="1" a="1"/>
  <c r="C22" i="1" s="1"/>
  <c r="C58" i="7"/>
  <c r="C55" i="7"/>
  <c r="C56" i="7"/>
  <c r="C57" i="7"/>
  <c r="C54" i="7"/>
  <c r="G132" i="1"/>
  <c r="G130" i="1"/>
  <c r="G131" i="1"/>
  <c r="G129" i="1"/>
  <c r="E40" i="7"/>
  <c r="G18" i="7"/>
  <c r="H18" i="7"/>
  <c r="I18" i="7"/>
  <c r="J18" i="7"/>
  <c r="K18" i="7"/>
  <c r="L18" i="7"/>
  <c r="M18" i="7"/>
  <c r="N18" i="7"/>
  <c r="O18" i="7"/>
  <c r="P18" i="7"/>
  <c r="C18" i="7"/>
  <c r="C17" i="7"/>
  <c r="D16" i="7"/>
  <c r="F6" i="7"/>
  <c r="F7" i="7"/>
  <c r="F8" i="7"/>
  <c r="E8" i="7"/>
  <c r="E7" i="7"/>
  <c r="E6" i="7"/>
  <c r="C9" i="7"/>
  <c r="C8" i="7"/>
  <c r="C7" i="7"/>
  <c r="C6" i="7"/>
  <c r="D96" i="1"/>
  <c r="C83" i="1"/>
  <c r="D83" i="1"/>
  <c r="E83" i="1"/>
  <c r="F83" i="1"/>
  <c r="C84" i="1"/>
  <c r="D84" i="1"/>
  <c r="C82" i="1"/>
  <c r="D82" i="1"/>
  <c r="D95" i="1"/>
  <c r="B114" i="1"/>
  <c r="B108" i="1"/>
  <c r="F15" i="1"/>
  <c r="F16" i="1"/>
  <c r="F14" i="1"/>
  <c r="C79" i="1"/>
  <c r="E79" i="1"/>
  <c r="F79" i="1"/>
  <c r="G79" i="1" s="1"/>
  <c r="H79" i="1" s="1"/>
  <c r="H90" i="1" s="1"/>
  <c r="C80" i="1"/>
  <c r="E80" i="1"/>
  <c r="F80" i="1"/>
  <c r="C81" i="1"/>
  <c r="E81" i="1"/>
  <c r="F81" i="1"/>
  <c r="E12" i="6"/>
  <c r="E96" i="1" s="1"/>
  <c r="F12" i="6"/>
  <c r="F96" i="1" s="1"/>
  <c r="E13" i="6"/>
  <c r="F13" i="6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E4" i="6"/>
  <c r="E8" i="6"/>
  <c r="F8" i="6"/>
  <c r="G8" i="6" s="1"/>
  <c r="H8" i="6" s="1"/>
  <c r="I8" i="6" s="1"/>
  <c r="J8" i="6" s="1"/>
  <c r="K8" i="6" s="1"/>
  <c r="L8" i="6" s="1"/>
  <c r="M8" i="6" s="1"/>
  <c r="N8" i="6" s="1"/>
  <c r="O8" i="6" s="1"/>
  <c r="P8" i="6" s="1"/>
  <c r="C5" i="6"/>
  <c r="E5" i="6" s="1"/>
  <c r="C12" i="6"/>
  <c r="C96" i="1" s="1"/>
  <c r="C97" i="1" s="1"/>
  <c r="C11" i="6"/>
  <c r="C91" i="1" s="1"/>
  <c r="C117" i="1" s="1"/>
  <c r="C7" i="6"/>
  <c r="E7" i="6" s="1"/>
  <c r="E90" i="1" s="1"/>
  <c r="C6" i="6"/>
  <c r="E6" i="6" s="1"/>
  <c r="E89" i="1" s="1"/>
  <c r="C4" i="6"/>
  <c r="F4" i="6" s="1"/>
  <c r="F61" i="6"/>
  <c r="E61" i="6"/>
  <c r="F51" i="6"/>
  <c r="E51" i="6"/>
  <c r="F43" i="6"/>
  <c r="E43" i="6"/>
  <c r="F35" i="6"/>
  <c r="E35" i="6"/>
  <c r="F29" i="6"/>
  <c r="E29" i="6"/>
  <c r="F22" i="5"/>
  <c r="E22" i="5"/>
  <c r="F19" i="5"/>
  <c r="E19" i="5"/>
  <c r="F15" i="5"/>
  <c r="E15" i="5"/>
  <c r="E5" i="5"/>
  <c r="E82" i="1" s="1"/>
  <c r="F5" i="5"/>
  <c r="F82" i="1" s="1"/>
  <c r="E6" i="5"/>
  <c r="E86" i="1" s="1"/>
  <c r="F6" i="5"/>
  <c r="F18" i="7" s="1"/>
  <c r="E10" i="5"/>
  <c r="F10" i="5"/>
  <c r="G26" i="5"/>
  <c r="H26" i="5"/>
  <c r="I26" i="5"/>
  <c r="J26" i="5"/>
  <c r="K26" i="5"/>
  <c r="L26" i="5"/>
  <c r="M26" i="5"/>
  <c r="N26" i="5"/>
  <c r="O26" i="5"/>
  <c r="P26" i="5"/>
  <c r="F26" i="5"/>
  <c r="E26" i="5"/>
  <c r="E25" i="5"/>
  <c r="B27" i="5"/>
  <c r="B26" i="5"/>
  <c r="B24" i="5"/>
  <c r="B25" i="5"/>
  <c r="B23" i="5"/>
  <c r="F21" i="5"/>
  <c r="F23" i="5" s="1"/>
  <c r="B20" i="5"/>
  <c r="C18" i="5"/>
  <c r="E18" i="5" s="1"/>
  <c r="E20" i="5" s="1"/>
  <c r="B17" i="5"/>
  <c r="C16" i="5"/>
  <c r="F16" i="5" s="1"/>
  <c r="B14" i="5"/>
  <c r="C13" i="5"/>
  <c r="E13" i="5" s="1"/>
  <c r="E15" i="7" s="1"/>
  <c r="C11" i="5"/>
  <c r="E11" i="5" s="1"/>
  <c r="E13" i="7" s="1"/>
  <c r="C12" i="5"/>
  <c r="F12" i="5" s="1"/>
  <c r="F14" i="7" s="1"/>
  <c r="C9" i="5"/>
  <c r="E9" i="5" s="1"/>
  <c r="C8" i="5"/>
  <c r="E8" i="5" s="1"/>
  <c r="C7" i="5"/>
  <c r="E7" i="5" s="1"/>
  <c r="B4" i="5"/>
  <c r="E69" i="5"/>
  <c r="F69" i="5"/>
  <c r="F60" i="5"/>
  <c r="F62" i="5" s="1"/>
  <c r="E60" i="5"/>
  <c r="E62" i="5" s="1"/>
  <c r="E51" i="5"/>
  <c r="E54" i="5" s="1"/>
  <c r="F51" i="5"/>
  <c r="F54" i="5" s="1"/>
  <c r="F23" i="4"/>
  <c r="E23" i="4"/>
  <c r="E20" i="4"/>
  <c r="C19" i="4"/>
  <c r="F34" i="4"/>
  <c r="E34" i="4"/>
  <c r="A1" i="6"/>
  <c r="A1" i="5"/>
  <c r="A1" i="7"/>
  <c r="E2" i="8"/>
  <c r="E2" i="7"/>
  <c r="E2" i="6"/>
  <c r="E2" i="5"/>
  <c r="F2" i="4"/>
  <c r="F2" i="8" s="1"/>
  <c r="A1" i="4"/>
  <c r="F6" i="4"/>
  <c r="F8" i="4" s="1"/>
  <c r="F85" i="1" s="1"/>
  <c r="E6" i="4"/>
  <c r="E8" i="4" s="1"/>
  <c r="E85" i="1" s="1"/>
  <c r="A1" i="1"/>
  <c r="C70" i="1"/>
  <c r="E8" i="1"/>
  <c r="G3" i="7" s="1"/>
  <c r="H3" i="7" s="1"/>
  <c r="I3" i="7" s="1"/>
  <c r="J3" i="7" s="1"/>
  <c r="K3" i="7" s="1"/>
  <c r="L3" i="7" s="1"/>
  <c r="M3" i="7" s="1"/>
  <c r="N3" i="7" s="1"/>
  <c r="O3" i="7" s="1"/>
  <c r="E11" i="1"/>
  <c r="F66" i="7" l="1"/>
  <c r="E66" i="7"/>
  <c r="I147" i="1"/>
  <c r="J147" i="1" s="1"/>
  <c r="E144" i="1"/>
  <c r="P3" i="7"/>
  <c r="E3" i="8"/>
  <c r="F31" i="7"/>
  <c r="F17" i="7"/>
  <c r="C95" i="1"/>
  <c r="C13" i="7"/>
  <c r="C15" i="7"/>
  <c r="C14" i="7"/>
  <c r="E16" i="7"/>
  <c r="C16" i="7"/>
  <c r="F76" i="1"/>
  <c r="E17" i="7"/>
  <c r="E18" i="7"/>
  <c r="F86" i="1"/>
  <c r="F87" i="1" s="1"/>
  <c r="F120" i="1" s="1"/>
  <c r="E62" i="1"/>
  <c r="E63" i="1" s="1"/>
  <c r="H53" i="1"/>
  <c r="K45" i="1"/>
  <c r="K54" i="1" s="1"/>
  <c r="H55" i="1"/>
  <c r="H52" i="1"/>
  <c r="H54" i="1"/>
  <c r="F35" i="4"/>
  <c r="F36" i="4" s="1"/>
  <c r="F12" i="4" s="1"/>
  <c r="F63" i="7" s="1"/>
  <c r="E35" i="4"/>
  <c r="E36" i="4" s="1"/>
  <c r="F112" i="1"/>
  <c r="E112" i="1"/>
  <c r="E9" i="7"/>
  <c r="E87" i="1"/>
  <c r="E120" i="1" s="1"/>
  <c r="F9" i="7"/>
  <c r="F11" i="6"/>
  <c r="F14" i="6" s="1"/>
  <c r="E11" i="6"/>
  <c r="E14" i="6" s="1"/>
  <c r="C90" i="1"/>
  <c r="C116" i="1" s="1"/>
  <c r="C89" i="1"/>
  <c r="C92" i="1" s="1"/>
  <c r="F7" i="6"/>
  <c r="F90" i="1" s="1"/>
  <c r="F93" i="1" s="1"/>
  <c r="F6" i="6"/>
  <c r="F89" i="1" s="1"/>
  <c r="F115" i="1" s="1"/>
  <c r="F5" i="6"/>
  <c r="G5" i="6" s="1"/>
  <c r="H5" i="6" s="1"/>
  <c r="I5" i="6" s="1"/>
  <c r="J5" i="6" s="1"/>
  <c r="K5" i="6" s="1"/>
  <c r="L5" i="6" s="1"/>
  <c r="M5" i="6" s="1"/>
  <c r="N5" i="6" s="1"/>
  <c r="P5" i="6" s="1"/>
  <c r="E36" i="6"/>
  <c r="F91" i="1"/>
  <c r="F117" i="1" s="1"/>
  <c r="E95" i="1"/>
  <c r="E118" i="1" s="1"/>
  <c r="H95" i="1"/>
  <c r="H18" i="5" s="1"/>
  <c r="G95" i="1"/>
  <c r="G82" i="1" s="1"/>
  <c r="G4" i="6" s="1"/>
  <c r="E115" i="1"/>
  <c r="E116" i="1"/>
  <c r="C94" i="1"/>
  <c r="E110" i="1"/>
  <c r="F111" i="1"/>
  <c r="E111" i="1"/>
  <c r="F110" i="1"/>
  <c r="G90" i="1"/>
  <c r="H93" i="1" s="1"/>
  <c r="H14" i="7" s="1"/>
  <c r="F109" i="1"/>
  <c r="I79" i="1"/>
  <c r="H80" i="1"/>
  <c r="H4" i="4"/>
  <c r="G80" i="1"/>
  <c r="G4" i="4"/>
  <c r="E77" i="1"/>
  <c r="G77" i="1"/>
  <c r="F36" i="6"/>
  <c r="E52" i="6"/>
  <c r="F52" i="6"/>
  <c r="F18" i="5"/>
  <c r="F16" i="7" s="1"/>
  <c r="E12" i="5"/>
  <c r="E14" i="7" s="1"/>
  <c r="F8" i="5"/>
  <c r="F7" i="5"/>
  <c r="F13" i="5"/>
  <c r="F15" i="7" s="1"/>
  <c r="E16" i="5"/>
  <c r="F11" i="5"/>
  <c r="F13" i="7" s="1"/>
  <c r="E21" i="5"/>
  <c r="E23" i="5" s="1"/>
  <c r="F9" i="5"/>
  <c r="F70" i="5"/>
  <c r="E70" i="5"/>
  <c r="E73" i="5" s="1"/>
  <c r="E3" i="5"/>
  <c r="G3" i="6"/>
  <c r="E3" i="6"/>
  <c r="G4" i="7"/>
  <c r="G46" i="7" s="1"/>
  <c r="E4" i="7"/>
  <c r="G3" i="8"/>
  <c r="F2" i="5"/>
  <c r="F2" i="6"/>
  <c r="F2" i="7"/>
  <c r="G3" i="5"/>
  <c r="F77" i="1"/>
  <c r="G2" i="4"/>
  <c r="G76" i="1" s="1"/>
  <c r="F67" i="7" l="1"/>
  <c r="E19" i="7"/>
  <c r="F19" i="7"/>
  <c r="E91" i="1"/>
  <c r="E117" i="1" s="1"/>
  <c r="E53" i="6"/>
  <c r="E62" i="6" s="1"/>
  <c r="K53" i="1"/>
  <c r="E60" i="1" s="1" a="1"/>
  <c r="E60" i="1" s="1"/>
  <c r="E64" i="1" s="1"/>
  <c r="G32" i="1" s="1"/>
  <c r="K55" i="1"/>
  <c r="K52" i="1"/>
  <c r="G6" i="7"/>
  <c r="G48" i="7"/>
  <c r="H6" i="7"/>
  <c r="H48" i="7"/>
  <c r="H20" i="5"/>
  <c r="H16" i="7"/>
  <c r="F84" i="1"/>
  <c r="F10" i="7"/>
  <c r="F11" i="7" s="1"/>
  <c r="F116" i="1"/>
  <c r="F92" i="1"/>
  <c r="C93" i="1"/>
  <c r="H82" i="1"/>
  <c r="H5" i="5" s="1"/>
  <c r="E119" i="1"/>
  <c r="C115" i="1"/>
  <c r="F20" i="5"/>
  <c r="F95" i="1"/>
  <c r="G5" i="5"/>
  <c r="J79" i="1"/>
  <c r="J95" i="1" s="1"/>
  <c r="I95" i="1"/>
  <c r="G18" i="5"/>
  <c r="I80" i="1"/>
  <c r="I81" i="1" s="1"/>
  <c r="I7" i="4" s="1"/>
  <c r="I8" i="7" s="1"/>
  <c r="G93" i="1"/>
  <c r="G89" i="1"/>
  <c r="G91" i="1"/>
  <c r="G94" i="1" s="1"/>
  <c r="H89" i="1"/>
  <c r="H91" i="1"/>
  <c r="I4" i="4"/>
  <c r="I90" i="1"/>
  <c r="G5" i="4"/>
  <c r="G81" i="1"/>
  <c r="G7" i="4" s="1"/>
  <c r="G8" i="7" s="1"/>
  <c r="H81" i="1"/>
  <c r="H7" i="4" s="1"/>
  <c r="H8" i="7" s="1"/>
  <c r="H5" i="4"/>
  <c r="F53" i="6"/>
  <c r="F62" i="6" s="1"/>
  <c r="F71" i="5"/>
  <c r="F73" i="5" s="1"/>
  <c r="F28" i="5" s="1"/>
  <c r="E28" i="5"/>
  <c r="F37" i="4"/>
  <c r="F13" i="4" s="1"/>
  <c r="E37" i="4"/>
  <c r="E13" i="4" s="1"/>
  <c r="E12" i="4"/>
  <c r="E63" i="7" s="1"/>
  <c r="E67" i="7" s="1"/>
  <c r="H2" i="4"/>
  <c r="H76" i="1" s="1"/>
  <c r="G2" i="8"/>
  <c r="G2" i="7"/>
  <c r="G2" i="6"/>
  <c r="G2" i="5"/>
  <c r="F3" i="8"/>
  <c r="F4" i="7"/>
  <c r="F3" i="6"/>
  <c r="F3" i="5"/>
  <c r="E32" i="1" l="1"/>
  <c r="E34" i="1" s="1"/>
  <c r="E40" i="1" s="1"/>
  <c r="H4" i="6"/>
  <c r="F94" i="1"/>
  <c r="I6" i="7"/>
  <c r="I48" i="7"/>
  <c r="F20" i="7"/>
  <c r="I89" i="1"/>
  <c r="I92" i="1" s="1"/>
  <c r="I11" i="5" s="1"/>
  <c r="I13" i="7" s="1"/>
  <c r="I91" i="1"/>
  <c r="I94" i="1" s="1"/>
  <c r="I13" i="5" s="1"/>
  <c r="I15" i="7" s="1"/>
  <c r="G20" i="5"/>
  <c r="G16" i="7"/>
  <c r="E84" i="1"/>
  <c r="E10" i="7"/>
  <c r="E11" i="7" s="1"/>
  <c r="G86" i="1"/>
  <c r="G17" i="7"/>
  <c r="H6" i="4"/>
  <c r="H8" i="4" s="1"/>
  <c r="H7" i="7"/>
  <c r="H9" i="7" s="1"/>
  <c r="H86" i="1"/>
  <c r="H17" i="7"/>
  <c r="G6" i="4"/>
  <c r="G8" i="4" s="1"/>
  <c r="G7" i="7"/>
  <c r="G9" i="7" s="1"/>
  <c r="J90" i="1"/>
  <c r="J93" i="1" s="1"/>
  <c r="J14" i="7" s="1"/>
  <c r="J4" i="4"/>
  <c r="I5" i="4"/>
  <c r="J80" i="1"/>
  <c r="J89" i="1" s="1"/>
  <c r="K79" i="1"/>
  <c r="K95" i="1" s="1"/>
  <c r="K82" i="1" s="1"/>
  <c r="K5" i="5" s="1"/>
  <c r="F118" i="1"/>
  <c r="F119" i="1"/>
  <c r="H94" i="1"/>
  <c r="H13" i="5" s="1"/>
  <c r="H15" i="7" s="1"/>
  <c r="I18" i="5"/>
  <c r="I82" i="1"/>
  <c r="I5" i="5" s="1"/>
  <c r="J18" i="5"/>
  <c r="J82" i="1"/>
  <c r="J5" i="5" s="1"/>
  <c r="I93" i="1"/>
  <c r="I14" i="7" s="1"/>
  <c r="G13" i="5"/>
  <c r="G15" i="7" s="1"/>
  <c r="G11" i="6"/>
  <c r="H92" i="1"/>
  <c r="H11" i="5" s="1"/>
  <c r="H13" i="7" s="1"/>
  <c r="G92" i="1"/>
  <c r="G14" i="7"/>
  <c r="G7" i="6"/>
  <c r="H7" i="6" s="1"/>
  <c r="I2" i="4"/>
  <c r="I76" i="1" s="1"/>
  <c r="H2" i="8"/>
  <c r="H2" i="7"/>
  <c r="H2" i="6"/>
  <c r="H2" i="5"/>
  <c r="H77" i="1"/>
  <c r="E143" i="1" l="1"/>
  <c r="F143" i="1" s="1"/>
  <c r="E150" i="1" s="1"/>
  <c r="E149" i="1" s="1"/>
  <c r="E148" i="1" s="1"/>
  <c r="H24" i="7"/>
  <c r="B24" i="7"/>
  <c r="G24" i="7"/>
  <c r="E70" i="1"/>
  <c r="E71" i="1" s="1"/>
  <c r="I4" i="6"/>
  <c r="J4" i="6" s="1"/>
  <c r="K4" i="6" s="1"/>
  <c r="E68" i="1"/>
  <c r="E69" i="1" s="1"/>
  <c r="J6" i="7"/>
  <c r="J48" i="7"/>
  <c r="G50" i="7"/>
  <c r="G49" i="7"/>
  <c r="H50" i="7"/>
  <c r="H49" i="7"/>
  <c r="I7" i="6"/>
  <c r="J7" i="6" s="1"/>
  <c r="E20" i="7"/>
  <c r="K18" i="5"/>
  <c r="K20" i="5" s="1"/>
  <c r="J81" i="1"/>
  <c r="J7" i="4" s="1"/>
  <c r="J8" i="7" s="1"/>
  <c r="K80" i="1"/>
  <c r="K81" i="1" s="1"/>
  <c r="K7" i="4" s="1"/>
  <c r="K8" i="7" s="1"/>
  <c r="L79" i="1"/>
  <c r="L95" i="1" s="1"/>
  <c r="L82" i="1" s="1"/>
  <c r="L5" i="5" s="1"/>
  <c r="J5" i="4"/>
  <c r="J6" i="4" s="1"/>
  <c r="H19" i="7"/>
  <c r="I6" i="4"/>
  <c r="I8" i="4" s="1"/>
  <c r="I7" i="7"/>
  <c r="I9" i="7" s="1"/>
  <c r="J86" i="1"/>
  <c r="J17" i="7"/>
  <c r="J20" i="5"/>
  <c r="J16" i="7"/>
  <c r="I86" i="1"/>
  <c r="I17" i="7"/>
  <c r="I20" i="5"/>
  <c r="I16" i="7"/>
  <c r="K86" i="1"/>
  <c r="K17" i="7"/>
  <c r="G85" i="1"/>
  <c r="G87" i="1" s="1"/>
  <c r="G96" i="1" s="1"/>
  <c r="H85" i="1"/>
  <c r="H87" i="1" s="1"/>
  <c r="H96" i="1" s="1"/>
  <c r="K90" i="1"/>
  <c r="K93" i="1" s="1"/>
  <c r="K14" i="7" s="1"/>
  <c r="J91" i="1"/>
  <c r="J94" i="1" s="1"/>
  <c r="J13" i="5" s="1"/>
  <c r="J15" i="7" s="1"/>
  <c r="K4" i="4"/>
  <c r="J92" i="1"/>
  <c r="J11" i="5" s="1"/>
  <c r="J13" i="7" s="1"/>
  <c r="G11" i="5"/>
  <c r="G13" i="7" s="1"/>
  <c r="G19" i="7" s="1"/>
  <c r="G6" i="6"/>
  <c r="H6" i="6" s="1"/>
  <c r="I6" i="6" s="1"/>
  <c r="H11" i="6"/>
  <c r="H3" i="5"/>
  <c r="H3" i="8"/>
  <c r="H4" i="7"/>
  <c r="H46" i="7" s="1"/>
  <c r="H3" i="6"/>
  <c r="J2" i="4"/>
  <c r="J76" i="1" s="1"/>
  <c r="I2" i="8"/>
  <c r="I2" i="7"/>
  <c r="I24" i="7" s="1"/>
  <c r="I2" i="6"/>
  <c r="I2" i="5"/>
  <c r="I77" i="1"/>
  <c r="E151" i="1" l="1"/>
  <c r="E152" i="1" s="1"/>
  <c r="L4" i="6"/>
  <c r="J8" i="4"/>
  <c r="I85" i="1"/>
  <c r="I87" i="1" s="1"/>
  <c r="I96" i="1" s="1"/>
  <c r="I50" i="7"/>
  <c r="I49" i="7"/>
  <c r="J50" i="7"/>
  <c r="J49" i="7"/>
  <c r="L4" i="4"/>
  <c r="K91" i="1"/>
  <c r="K94" i="1" s="1"/>
  <c r="K13" i="5" s="1"/>
  <c r="K15" i="7" s="1"/>
  <c r="K89" i="1"/>
  <c r="K92" i="1" s="1"/>
  <c r="K11" i="5" s="1"/>
  <c r="K13" i="7" s="1"/>
  <c r="K6" i="7"/>
  <c r="K48" i="7"/>
  <c r="L80" i="1"/>
  <c r="L89" i="1" s="1"/>
  <c r="M79" i="1"/>
  <c r="M95" i="1" s="1"/>
  <c r="M18" i="5" s="1"/>
  <c r="K5" i="4"/>
  <c r="K7" i="7" s="1"/>
  <c r="K9" i="7" s="1"/>
  <c r="L18" i="5"/>
  <c r="L20" i="5" s="1"/>
  <c r="L90" i="1"/>
  <c r="L93" i="1" s="1"/>
  <c r="L14" i="7" s="1"/>
  <c r="K16" i="7"/>
  <c r="J7" i="7"/>
  <c r="J9" i="7" s="1"/>
  <c r="J6" i="6"/>
  <c r="I19" i="7"/>
  <c r="J19" i="7"/>
  <c r="G83" i="1"/>
  <c r="G97" i="1"/>
  <c r="H83" i="1"/>
  <c r="H97" i="1"/>
  <c r="H21" i="5" s="1"/>
  <c r="H23" i="5" s="1"/>
  <c r="L86" i="1"/>
  <c r="L17" i="7"/>
  <c r="J85" i="1"/>
  <c r="J87" i="1" s="1"/>
  <c r="J96" i="1" s="1"/>
  <c r="I11" i="6"/>
  <c r="K7" i="6"/>
  <c r="I3" i="6"/>
  <c r="I3" i="8"/>
  <c r="I4" i="7"/>
  <c r="I46" i="7" s="1"/>
  <c r="I3" i="5"/>
  <c r="K2" i="4"/>
  <c r="K76" i="1" s="1"/>
  <c r="J2" i="8"/>
  <c r="J2" i="7"/>
  <c r="J24" i="7" s="1"/>
  <c r="J2" i="6"/>
  <c r="J2" i="5"/>
  <c r="J77" i="1"/>
  <c r="N79" i="1" l="1"/>
  <c r="N95" i="1" s="1"/>
  <c r="M4" i="4"/>
  <c r="M6" i="7" s="1"/>
  <c r="L5" i="4"/>
  <c r="L7" i="7" s="1"/>
  <c r="L81" i="1"/>
  <c r="L7" i="4" s="1"/>
  <c r="L8" i="7" s="1"/>
  <c r="M90" i="1"/>
  <c r="L91" i="1"/>
  <c r="L94" i="1" s="1"/>
  <c r="L13" i="5" s="1"/>
  <c r="L15" i="7" s="1"/>
  <c r="M82" i="1"/>
  <c r="M5" i="5" s="1"/>
  <c r="M86" i="1" s="1"/>
  <c r="K6" i="4"/>
  <c r="K8" i="4" s="1"/>
  <c r="K85" i="1" s="1"/>
  <c r="K87" i="1" s="1"/>
  <c r="K96" i="1" s="1"/>
  <c r="L6" i="7"/>
  <c r="L48" i="7"/>
  <c r="L16" i="7"/>
  <c r="M80" i="1"/>
  <c r="M91" i="1" s="1"/>
  <c r="K19" i="7"/>
  <c r="J97" i="1"/>
  <c r="J21" i="5" s="1"/>
  <c r="J23" i="5" s="1"/>
  <c r="J83" i="1"/>
  <c r="I83" i="1"/>
  <c r="I97" i="1"/>
  <c r="I21" i="5" s="1"/>
  <c r="I23" i="5" s="1"/>
  <c r="H9" i="4"/>
  <c r="H11" i="4" s="1"/>
  <c r="H84" i="1" s="1"/>
  <c r="H15" i="5"/>
  <c r="H64" i="7" s="1"/>
  <c r="H66" i="7" s="1"/>
  <c r="H8" i="5"/>
  <c r="M20" i="5"/>
  <c r="M16" i="7"/>
  <c r="G12" i="6"/>
  <c r="G21" i="5"/>
  <c r="G23" i="5" s="1"/>
  <c r="G8" i="5"/>
  <c r="G9" i="4"/>
  <c r="G11" i="4" s="1"/>
  <c r="G84" i="1" s="1"/>
  <c r="G15" i="5"/>
  <c r="G64" i="7" s="1"/>
  <c r="G66" i="7" s="1"/>
  <c r="N18" i="5"/>
  <c r="N82" i="1"/>
  <c r="N5" i="5" s="1"/>
  <c r="L7" i="6"/>
  <c r="K6" i="6"/>
  <c r="J11" i="6"/>
  <c r="L92" i="1"/>
  <c r="L11" i="5" s="1"/>
  <c r="L13" i="7" s="1"/>
  <c r="M93" i="1"/>
  <c r="M14" i="7" s="1"/>
  <c r="N4" i="4"/>
  <c r="N90" i="1"/>
  <c r="J3" i="6"/>
  <c r="J3" i="5"/>
  <c r="J3" i="8"/>
  <c r="J4" i="7"/>
  <c r="J46" i="7" s="1"/>
  <c r="L2" i="4"/>
  <c r="L76" i="1" s="1"/>
  <c r="K2" i="8"/>
  <c r="K2" i="7"/>
  <c r="K24" i="7" s="1"/>
  <c r="K2" i="6"/>
  <c r="K2" i="5"/>
  <c r="K77" i="1"/>
  <c r="M4" i="6" l="1"/>
  <c r="N4" i="6" s="1"/>
  <c r="M94" i="1"/>
  <c r="M13" i="5" s="1"/>
  <c r="M15" i="7" s="1"/>
  <c r="L6" i="4"/>
  <c r="L8" i="4" s="1"/>
  <c r="M48" i="7"/>
  <c r="M81" i="1"/>
  <c r="M7" i="4" s="1"/>
  <c r="M8" i="7" s="1"/>
  <c r="L19" i="7"/>
  <c r="M5" i="4"/>
  <c r="M89" i="1"/>
  <c r="N80" i="1"/>
  <c r="N81" i="1" s="1"/>
  <c r="N7" i="4" s="1"/>
  <c r="N8" i="7" s="1"/>
  <c r="L9" i="7"/>
  <c r="O79" i="1"/>
  <c r="O95" i="1" s="1"/>
  <c r="O82" i="1" s="1"/>
  <c r="O5" i="5" s="1"/>
  <c r="M17" i="7"/>
  <c r="L50" i="7"/>
  <c r="L49" i="7"/>
  <c r="N6" i="7"/>
  <c r="N48" i="7"/>
  <c r="K50" i="7"/>
  <c r="K49" i="7"/>
  <c r="G9" i="5"/>
  <c r="G12" i="4"/>
  <c r="G63" i="7" s="1"/>
  <c r="G67" i="7" s="1"/>
  <c r="H12" i="6"/>
  <c r="G14" i="6"/>
  <c r="N17" i="7"/>
  <c r="N86" i="1"/>
  <c r="N20" i="5"/>
  <c r="N16" i="7"/>
  <c r="H9" i="5"/>
  <c r="H12" i="4"/>
  <c r="H63" i="7" s="1"/>
  <c r="H67" i="7" s="1"/>
  <c r="M6" i="4"/>
  <c r="M8" i="4" s="1"/>
  <c r="M7" i="7"/>
  <c r="K97" i="1"/>
  <c r="K21" i="5" s="1"/>
  <c r="K23" i="5" s="1"/>
  <c r="K83" i="1"/>
  <c r="I9" i="4"/>
  <c r="I11" i="4" s="1"/>
  <c r="I15" i="5"/>
  <c r="I64" i="7" s="1"/>
  <c r="I66" i="7" s="1"/>
  <c r="I8" i="5"/>
  <c r="J9" i="4"/>
  <c r="J11" i="4" s="1"/>
  <c r="J84" i="1" s="1"/>
  <c r="J15" i="5"/>
  <c r="J64" i="7" s="1"/>
  <c r="J66" i="7" s="1"/>
  <c r="J8" i="5"/>
  <c r="L85" i="1"/>
  <c r="L87" i="1" s="1"/>
  <c r="L96" i="1" s="1"/>
  <c r="K11" i="6"/>
  <c r="L6" i="6"/>
  <c r="M7" i="6"/>
  <c r="M92" i="1"/>
  <c r="M11" i="5" s="1"/>
  <c r="M13" i="7" s="1"/>
  <c r="N93" i="1"/>
  <c r="N14" i="7" s="1"/>
  <c r="K4" i="7"/>
  <c r="K46" i="7" s="1"/>
  <c r="K3" i="6"/>
  <c r="K3" i="5"/>
  <c r="K3" i="8"/>
  <c r="M2" i="4"/>
  <c r="M76" i="1" s="1"/>
  <c r="L2" i="8"/>
  <c r="L2" i="7"/>
  <c r="L24" i="7" s="1"/>
  <c r="L2" i="6"/>
  <c r="L2" i="5"/>
  <c r="L77" i="1"/>
  <c r="O4" i="6" l="1"/>
  <c r="M19" i="7"/>
  <c r="M9" i="7"/>
  <c r="O18" i="5"/>
  <c r="N89" i="1"/>
  <c r="N5" i="4"/>
  <c r="N6" i="4" s="1"/>
  <c r="N8" i="4" s="1"/>
  <c r="N91" i="1"/>
  <c r="N94" i="1" s="1"/>
  <c r="N13" i="5" s="1"/>
  <c r="N15" i="7" s="1"/>
  <c r="O4" i="4"/>
  <c r="O90" i="1"/>
  <c r="P79" i="1"/>
  <c r="P95" i="1" s="1"/>
  <c r="O80" i="1"/>
  <c r="O5" i="4" s="1"/>
  <c r="M50" i="7"/>
  <c r="M49" i="7"/>
  <c r="O6" i="7"/>
  <c r="O48" i="7"/>
  <c r="I84" i="1"/>
  <c r="O20" i="5"/>
  <c r="O16" i="7"/>
  <c r="H10" i="7"/>
  <c r="H11" i="7" s="1"/>
  <c r="H16" i="5"/>
  <c r="K9" i="4"/>
  <c r="K11" i="4" s="1"/>
  <c r="K84" i="1" s="1"/>
  <c r="K15" i="5"/>
  <c r="K64" i="7" s="1"/>
  <c r="K66" i="7" s="1"/>
  <c r="K8" i="5"/>
  <c r="O17" i="7"/>
  <c r="O86" i="1"/>
  <c r="H14" i="4"/>
  <c r="H52" i="7" s="1"/>
  <c r="N7" i="7"/>
  <c r="N9" i="7" s="1"/>
  <c r="L97" i="1"/>
  <c r="L21" i="5" s="1"/>
  <c r="L23" i="5" s="1"/>
  <c r="L83" i="1"/>
  <c r="I12" i="6"/>
  <c r="H14" i="6"/>
  <c r="G10" i="7"/>
  <c r="G11" i="7" s="1"/>
  <c r="G16" i="5"/>
  <c r="G14" i="4"/>
  <c r="G52" i="7" s="1"/>
  <c r="J12" i="4"/>
  <c r="J9" i="5"/>
  <c r="M85" i="1"/>
  <c r="M87" i="1" s="1"/>
  <c r="M96" i="1" s="1"/>
  <c r="P18" i="5"/>
  <c r="P82" i="1"/>
  <c r="P5" i="5" s="1"/>
  <c r="N92" i="1"/>
  <c r="N11" i="5" s="1"/>
  <c r="N13" i="7" s="1"/>
  <c r="N7" i="6"/>
  <c r="M6" i="6"/>
  <c r="L11" i="6"/>
  <c r="O93" i="1"/>
  <c r="O14" i="7" s="1"/>
  <c r="P4" i="4"/>
  <c r="L4" i="7"/>
  <c r="L46" i="7" s="1"/>
  <c r="L3" i="6"/>
  <c r="L3" i="5"/>
  <c r="L3" i="8"/>
  <c r="N2" i="4"/>
  <c r="N76" i="1" s="1"/>
  <c r="M2" i="8"/>
  <c r="M2" i="7"/>
  <c r="M24" i="7" s="1"/>
  <c r="M2" i="6"/>
  <c r="M2" i="5"/>
  <c r="M77" i="1"/>
  <c r="P4" i="6" l="1"/>
  <c r="J14" i="4"/>
  <c r="J52" i="7" s="1"/>
  <c r="J63" i="7"/>
  <c r="J67" i="7" s="1"/>
  <c r="N19" i="7"/>
  <c r="P90" i="1"/>
  <c r="P80" i="1"/>
  <c r="O81" i="1"/>
  <c r="O7" i="4" s="1"/>
  <c r="O8" i="7" s="1"/>
  <c r="O89" i="1"/>
  <c r="O92" i="1" s="1"/>
  <c r="O11" i="5" s="1"/>
  <c r="O13" i="7" s="1"/>
  <c r="O91" i="1"/>
  <c r="O94" i="1" s="1"/>
  <c r="O13" i="5" s="1"/>
  <c r="O15" i="7" s="1"/>
  <c r="G51" i="7"/>
  <c r="N50" i="7"/>
  <c r="N49" i="7"/>
  <c r="P6" i="7"/>
  <c r="P48" i="7"/>
  <c r="J19" i="4"/>
  <c r="J21" i="4" s="1"/>
  <c r="H51" i="7"/>
  <c r="G20" i="7"/>
  <c r="G21" i="7" s="1"/>
  <c r="N6" i="6"/>
  <c r="J12" i="6"/>
  <c r="I14" i="6"/>
  <c r="L9" i="4"/>
  <c r="L11" i="4" s="1"/>
  <c r="L84" i="1" s="1"/>
  <c r="L15" i="5"/>
  <c r="L64" i="7" s="1"/>
  <c r="L66" i="7" s="1"/>
  <c r="L8" i="5"/>
  <c r="H19" i="4"/>
  <c r="H21" i="4" s="1"/>
  <c r="H4" i="5"/>
  <c r="H14" i="5" s="1"/>
  <c r="K9" i="5"/>
  <c r="K12" i="4"/>
  <c r="K63" i="7" s="1"/>
  <c r="K67" i="7" s="1"/>
  <c r="H20" i="7"/>
  <c r="M97" i="1"/>
  <c r="M21" i="5" s="1"/>
  <c r="M23" i="5" s="1"/>
  <c r="M83" i="1"/>
  <c r="P20" i="5"/>
  <c r="P16" i="7"/>
  <c r="P86" i="1"/>
  <c r="P17" i="7"/>
  <c r="J10" i="7"/>
  <c r="J11" i="7" s="1"/>
  <c r="J16" i="5"/>
  <c r="I9" i="5"/>
  <c r="I12" i="4"/>
  <c r="I63" i="7" s="1"/>
  <c r="I67" i="7" s="1"/>
  <c r="G19" i="4"/>
  <c r="G21" i="4" s="1"/>
  <c r="G4" i="5"/>
  <c r="G14" i="5" s="1"/>
  <c r="O6" i="4"/>
  <c r="O8" i="4" s="1"/>
  <c r="O7" i="7"/>
  <c r="N85" i="1"/>
  <c r="N87" i="1" s="1"/>
  <c r="N96" i="1" s="1"/>
  <c r="M11" i="6"/>
  <c r="O7" i="6"/>
  <c r="P93" i="1"/>
  <c r="P14" i="7" s="1"/>
  <c r="P91" i="1"/>
  <c r="P89" i="1"/>
  <c r="P81" i="1"/>
  <c r="P7" i="4" s="1"/>
  <c r="P8" i="7" s="1"/>
  <c r="P5" i="4"/>
  <c r="M3" i="8"/>
  <c r="M4" i="7"/>
  <c r="M46" i="7" s="1"/>
  <c r="M3" i="6"/>
  <c r="M3" i="5"/>
  <c r="O2" i="4"/>
  <c r="O76" i="1" s="1"/>
  <c r="N2" i="8"/>
  <c r="N2" i="7"/>
  <c r="N24" i="7" s="1"/>
  <c r="N2" i="6"/>
  <c r="N2" i="5"/>
  <c r="N77" i="1"/>
  <c r="J4" i="5" l="1"/>
  <c r="J14" i="5" s="1"/>
  <c r="J17" i="5" s="1"/>
  <c r="H17" i="5"/>
  <c r="H24" i="5" s="1"/>
  <c r="G17" i="5"/>
  <c r="G24" i="5" s="1"/>
  <c r="J51" i="7"/>
  <c r="O9" i="7"/>
  <c r="O19" i="7"/>
  <c r="P94" i="1"/>
  <c r="P13" i="5" s="1"/>
  <c r="P15" i="7" s="1"/>
  <c r="G23" i="7"/>
  <c r="G25" i="7" s="1"/>
  <c r="H23" i="7"/>
  <c r="H25" i="7" s="1"/>
  <c r="O50" i="7"/>
  <c r="O49" i="7"/>
  <c r="J20" i="7"/>
  <c r="M9" i="4"/>
  <c r="M11" i="4" s="1"/>
  <c r="M84" i="1" s="1"/>
  <c r="M15" i="5"/>
  <c r="M64" i="7" s="1"/>
  <c r="M66" i="7" s="1"/>
  <c r="M8" i="5"/>
  <c r="K10" i="7"/>
  <c r="K11" i="7" s="1"/>
  <c r="K16" i="5"/>
  <c r="K14" i="4"/>
  <c r="K52" i="7" s="1"/>
  <c r="J24" i="5"/>
  <c r="I10" i="7"/>
  <c r="I11" i="7" s="1"/>
  <c r="I16" i="5"/>
  <c r="I14" i="4"/>
  <c r="I52" i="7" s="1"/>
  <c r="N83" i="1"/>
  <c r="N97" i="1"/>
  <c r="N21" i="5" s="1"/>
  <c r="N23" i="5" s="1"/>
  <c r="P6" i="4"/>
  <c r="P8" i="4" s="1"/>
  <c r="P7" i="7"/>
  <c r="P9" i="7" s="1"/>
  <c r="L12" i="4"/>
  <c r="L63" i="7" s="1"/>
  <c r="L67" i="7" s="1"/>
  <c r="L9" i="5"/>
  <c r="K12" i="6"/>
  <c r="J14" i="6"/>
  <c r="O85" i="1"/>
  <c r="O87" i="1" s="1"/>
  <c r="O96" i="1" s="1"/>
  <c r="P7" i="6"/>
  <c r="O6" i="6"/>
  <c r="N11" i="6"/>
  <c r="P92" i="1"/>
  <c r="P11" i="5" s="1"/>
  <c r="P13" i="7" s="1"/>
  <c r="N3" i="8"/>
  <c r="N4" i="7"/>
  <c r="N46" i="7" s="1"/>
  <c r="N3" i="6"/>
  <c r="N3" i="5"/>
  <c r="P2" i="4"/>
  <c r="P76" i="1" s="1"/>
  <c r="O2" i="8"/>
  <c r="O2" i="7"/>
  <c r="O24" i="7" s="1"/>
  <c r="O2" i="6"/>
  <c r="O2" i="5"/>
  <c r="O77" i="1"/>
  <c r="I51" i="7" l="1"/>
  <c r="K51" i="7"/>
  <c r="P19" i="7"/>
  <c r="J23" i="7"/>
  <c r="J25" i="7" s="1"/>
  <c r="P50" i="7"/>
  <c r="P49" i="7"/>
  <c r="I20" i="7"/>
  <c r="K20" i="7"/>
  <c r="O97" i="1"/>
  <c r="O21" i="5" s="1"/>
  <c r="O23" i="5" s="1"/>
  <c r="O83" i="1"/>
  <c r="L12" i="6"/>
  <c r="K14" i="6"/>
  <c r="L10" i="7"/>
  <c r="L11" i="7" s="1"/>
  <c r="L16" i="5"/>
  <c r="L14" i="4"/>
  <c r="L52" i="7" s="1"/>
  <c r="N9" i="4"/>
  <c r="N11" i="4" s="1"/>
  <c r="N84" i="1" s="1"/>
  <c r="N15" i="5"/>
  <c r="N64" i="7" s="1"/>
  <c r="N66" i="7" s="1"/>
  <c r="N8" i="5"/>
  <c r="I19" i="4"/>
  <c r="I21" i="4" s="1"/>
  <c r="I4" i="5"/>
  <c r="I14" i="5" s="1"/>
  <c r="K19" i="4"/>
  <c r="K21" i="4" s="1"/>
  <c r="K4" i="5"/>
  <c r="K14" i="5" s="1"/>
  <c r="M12" i="4"/>
  <c r="M63" i="7" s="1"/>
  <c r="M67" i="7" s="1"/>
  <c r="M9" i="5"/>
  <c r="P85" i="1"/>
  <c r="P87" i="1" s="1"/>
  <c r="P96" i="1" s="1"/>
  <c r="O11" i="6"/>
  <c r="P6" i="6"/>
  <c r="O3" i="8"/>
  <c r="O4" i="7"/>
  <c r="O46" i="7" s="1"/>
  <c r="O3" i="6"/>
  <c r="O3" i="5"/>
  <c r="P2" i="8"/>
  <c r="P2" i="7"/>
  <c r="P24" i="7" s="1"/>
  <c r="P2" i="6"/>
  <c r="P2" i="5"/>
  <c r="P77" i="1"/>
  <c r="I17" i="5" l="1"/>
  <c r="I24" i="5" s="1"/>
  <c r="K17" i="5"/>
  <c r="K24" i="5" s="1"/>
  <c r="L51" i="7"/>
  <c r="K23" i="7"/>
  <c r="K25" i="7" s="1"/>
  <c r="I23" i="7"/>
  <c r="I25" i="7" s="1"/>
  <c r="L20" i="7"/>
  <c r="M10" i="7"/>
  <c r="M11" i="7" s="1"/>
  <c r="M16" i="5"/>
  <c r="M14" i="4"/>
  <c r="M52" i="7" s="1"/>
  <c r="N12" i="4"/>
  <c r="N9" i="5"/>
  <c r="L19" i="4"/>
  <c r="L21" i="4" s="1"/>
  <c r="L4" i="5"/>
  <c r="L14" i="5" s="1"/>
  <c r="M12" i="6"/>
  <c r="L14" i="6"/>
  <c r="P97" i="1"/>
  <c r="P21" i="5" s="1"/>
  <c r="P23" i="5" s="1"/>
  <c r="P83" i="1"/>
  <c r="O8" i="5"/>
  <c r="O9" i="4"/>
  <c r="O11" i="4" s="1"/>
  <c r="O84" i="1" s="1"/>
  <c r="O15" i="5"/>
  <c r="O64" i="7" s="1"/>
  <c r="O66" i="7" s="1"/>
  <c r="P11" i="6"/>
  <c r="Q2" i="8"/>
  <c r="P3" i="8"/>
  <c r="P4" i="7"/>
  <c r="P46" i="7" s="1"/>
  <c r="P3" i="6"/>
  <c r="P3" i="5"/>
  <c r="L17" i="5" l="1"/>
  <c r="L24" i="5" s="1"/>
  <c r="N14" i="4"/>
  <c r="N52" i="7" s="1"/>
  <c r="N63" i="7"/>
  <c r="N67" i="7" s="1"/>
  <c r="M51" i="7"/>
  <c r="L23" i="7"/>
  <c r="L25" i="7" s="1"/>
  <c r="N19" i="4"/>
  <c r="N21" i="4" s="1"/>
  <c r="M20" i="7"/>
  <c r="O12" i="4"/>
  <c r="O63" i="7" s="1"/>
  <c r="O67" i="7" s="1"/>
  <c r="O9" i="5"/>
  <c r="P8" i="5"/>
  <c r="P9" i="4"/>
  <c r="P11" i="4" s="1"/>
  <c r="P84" i="1" s="1"/>
  <c r="P15" i="5"/>
  <c r="P64" i="7" s="1"/>
  <c r="P66" i="7" s="1"/>
  <c r="N12" i="6"/>
  <c r="M14" i="6"/>
  <c r="N10" i="7"/>
  <c r="N11" i="7" s="1"/>
  <c r="N16" i="5"/>
  <c r="M19" i="4"/>
  <c r="M21" i="4" s="1"/>
  <c r="M4" i="5"/>
  <c r="M14" i="5" s="1"/>
  <c r="N4" i="5"/>
  <c r="N14" i="5" s="1"/>
  <c r="N17" i="5" s="1"/>
  <c r="Q3" i="8"/>
  <c r="M17" i="5" l="1"/>
  <c r="M24" i="5" s="1"/>
  <c r="N51" i="7"/>
  <c r="M23" i="7"/>
  <c r="M25" i="7" s="1"/>
  <c r="N24" i="5"/>
  <c r="N20" i="7"/>
  <c r="O12" i="6"/>
  <c r="N14" i="6"/>
  <c r="P9" i="5"/>
  <c r="P12" i="4"/>
  <c r="P63" i="7" s="1"/>
  <c r="P67" i="7" s="1"/>
  <c r="O10" i="7"/>
  <c r="O11" i="7" s="1"/>
  <c r="O14" i="4"/>
  <c r="O52" i="7" s="1"/>
  <c r="O16" i="5"/>
  <c r="O51" i="7" l="1"/>
  <c r="N23" i="7"/>
  <c r="N25" i="7" s="1"/>
  <c r="O20" i="7"/>
  <c r="P10" i="7"/>
  <c r="P11" i="7" s="1"/>
  <c r="P14" i="4"/>
  <c r="P52" i="7" s="1"/>
  <c r="P16" i="5"/>
  <c r="O19" i="4"/>
  <c r="O21" i="4" s="1"/>
  <c r="O4" i="5"/>
  <c r="O14" i="5" s="1"/>
  <c r="P12" i="6"/>
  <c r="O14" i="6"/>
  <c r="O17" i="5" l="1"/>
  <c r="O24" i="5" s="1"/>
  <c r="O23" i="7"/>
  <c r="P51" i="7"/>
  <c r="E72" i="1"/>
  <c r="E73" i="1" s="1"/>
  <c r="O25" i="7"/>
  <c r="P20" i="7"/>
  <c r="P14" i="6"/>
  <c r="P19" i="4"/>
  <c r="P21" i="4" s="1"/>
  <c r="P4" i="5"/>
  <c r="P14" i="5" s="1"/>
  <c r="P17" i="5" l="1"/>
  <c r="P24" i="5" s="1"/>
  <c r="P22" i="7"/>
  <c r="F27" i="7" s="1"/>
  <c r="P23" i="7" l="1"/>
  <c r="P25" i="7" s="1"/>
  <c r="F28" i="7" l="1"/>
  <c r="M57" i="7" l="1"/>
  <c r="G54" i="7"/>
  <c r="G57" i="7"/>
  <c r="H57" i="7"/>
  <c r="G55" i="7"/>
  <c r="K56" i="7"/>
  <c r="J54" i="7"/>
  <c r="I57" i="7"/>
  <c r="H55" i="7"/>
  <c r="M56" i="7"/>
  <c r="L54" i="7"/>
  <c r="J57" i="7"/>
  <c r="M54" i="7"/>
  <c r="E27" i="7"/>
  <c r="O56" i="7"/>
  <c r="I55" i="7"/>
  <c r="P56" i="7"/>
  <c r="O54" i="7"/>
  <c r="P54" i="7"/>
  <c r="K57" i="7"/>
  <c r="J55" i="7"/>
  <c r="L57" i="7"/>
  <c r="K55" i="7"/>
  <c r="L55" i="7"/>
  <c r="N57" i="7"/>
  <c r="M55" i="7"/>
  <c r="O57" i="7"/>
  <c r="N55" i="7"/>
  <c r="P57" i="7"/>
  <c r="O55" i="7"/>
  <c r="P55" i="7"/>
  <c r="F26" i="7"/>
  <c r="G56" i="7"/>
  <c r="E28" i="7"/>
  <c r="I56" i="7"/>
  <c r="J56" i="7"/>
  <c r="I54" i="7"/>
  <c r="L56" i="7"/>
  <c r="K54" i="7"/>
  <c r="N56" i="7"/>
  <c r="N54" i="7"/>
  <c r="H54" i="7"/>
  <c r="H56" i="7"/>
  <c r="E26" i="7" l="1"/>
  <c r="E11" i="4" l="1"/>
  <c r="F11" i="4"/>
  <c r="F14" i="4" l="1"/>
  <c r="F4" i="5" s="1"/>
  <c r="F14" i="5" s="1"/>
  <c r="F17" i="5" s="1"/>
  <c r="F24" i="5" s="1"/>
  <c r="F113" i="1"/>
  <c r="E14" i="4"/>
  <c r="E4" i="5" s="1"/>
  <c r="E14" i="5" s="1"/>
  <c r="E17" i="5" s="1"/>
  <c r="E24" i="5" s="1"/>
  <c r="E27" i="5" s="1"/>
  <c r="E29" i="5" s="1"/>
  <c r="E113" i="1"/>
  <c r="F16" i="4"/>
  <c r="F19" i="4" l="1"/>
  <c r="F21" i="4" s="1"/>
  <c r="E19" i="4"/>
  <c r="E21" i="4" s="1"/>
  <c r="E24" i="4" s="1"/>
  <c r="E16" i="4"/>
  <c r="F25" i="5"/>
  <c r="F27" i="5" s="1"/>
  <c r="G25" i="5" s="1"/>
  <c r="G27" i="5" s="1"/>
  <c r="E9" i="6"/>
  <c r="E10" i="6" s="1"/>
  <c r="E15" i="6" s="1"/>
  <c r="F9" i="6" l="1"/>
  <c r="F29" i="5"/>
  <c r="E26" i="4"/>
  <c r="E16" i="6"/>
  <c r="E17" i="6" s="1"/>
  <c r="H25" i="5"/>
  <c r="H27" i="5" s="1"/>
  <c r="G9" i="6"/>
  <c r="F18" i="4"/>
  <c r="F24" i="4" s="1"/>
  <c r="F10" i="6" l="1"/>
  <c r="F36" i="7"/>
  <c r="I25" i="5"/>
  <c r="I27" i="5" s="1"/>
  <c r="H9" i="6"/>
  <c r="G18" i="4"/>
  <c r="G24" i="4" s="1"/>
  <c r="F26" i="4"/>
  <c r="G10" i="6" l="1"/>
  <c r="F15" i="6"/>
  <c r="F16" i="6" s="1"/>
  <c r="F17" i="6" s="1"/>
  <c r="H18" i="4"/>
  <c r="H24" i="4" s="1"/>
  <c r="J25" i="5"/>
  <c r="J27" i="5" s="1"/>
  <c r="I9" i="6"/>
  <c r="H10" i="6" l="1"/>
  <c r="G15" i="6"/>
  <c r="G16" i="6" s="1"/>
  <c r="G17" i="6" s="1"/>
  <c r="K25" i="5"/>
  <c r="K27" i="5" s="1"/>
  <c r="J9" i="6"/>
  <c r="I18" i="4"/>
  <c r="I24" i="4" s="1"/>
  <c r="I10" i="6" l="1"/>
  <c r="H15" i="6"/>
  <c r="H16" i="6" s="1"/>
  <c r="H17" i="6" s="1"/>
  <c r="J18" i="4"/>
  <c r="J24" i="4" s="1"/>
  <c r="L25" i="5"/>
  <c r="L27" i="5" s="1"/>
  <c r="K9" i="6"/>
  <c r="J10" i="6" l="1"/>
  <c r="I15" i="6"/>
  <c r="I16" i="6" s="1"/>
  <c r="I17" i="6" s="1"/>
  <c r="M25" i="5"/>
  <c r="M27" i="5" s="1"/>
  <c r="L9" i="6"/>
  <c r="K18" i="4"/>
  <c r="K24" i="4" s="1"/>
  <c r="K10" i="6" l="1"/>
  <c r="J15" i="6"/>
  <c r="J16" i="6" s="1"/>
  <c r="J17" i="6" s="1"/>
  <c r="L18" i="4"/>
  <c r="L24" i="4" s="1"/>
  <c r="N25" i="5"/>
  <c r="N27" i="5" s="1"/>
  <c r="M9" i="6"/>
  <c r="L10" i="6" l="1"/>
  <c r="K15" i="6"/>
  <c r="K16" i="6" s="1"/>
  <c r="K17" i="6" s="1"/>
  <c r="O25" i="5"/>
  <c r="O27" i="5" s="1"/>
  <c r="N9" i="6"/>
  <c r="M18" i="4"/>
  <c r="M24" i="4" s="1"/>
  <c r="M10" i="6" l="1"/>
  <c r="L15" i="6"/>
  <c r="L16" i="6" s="1"/>
  <c r="L17" i="6" s="1"/>
  <c r="N18" i="4"/>
  <c r="N24" i="4" s="1"/>
  <c r="P25" i="5"/>
  <c r="P27" i="5" s="1"/>
  <c r="O9" i="6"/>
  <c r="N10" i="6" l="1"/>
  <c r="M15" i="6"/>
  <c r="M16" i="6" s="1"/>
  <c r="M17" i="6" s="1"/>
  <c r="O18" i="4"/>
  <c r="O24" i="4" s="1"/>
  <c r="P9" i="6"/>
  <c r="O10" i="6" l="1"/>
  <c r="N15" i="6"/>
  <c r="N16" i="6" s="1"/>
  <c r="N17" i="6" s="1"/>
  <c r="P18" i="4"/>
  <c r="P24" i="4" s="1"/>
  <c r="P10" i="6" l="1"/>
  <c r="P15" i="6" s="1"/>
  <c r="O15" i="6"/>
  <c r="O16" i="6" s="1"/>
  <c r="O17" i="6" s="1"/>
  <c r="P16" i="6"/>
  <c r="P17" i="6" s="1"/>
  <c r="E26" i="1" l="1"/>
  <c r="E28" i="1" s="1"/>
  <c r="A2" i="4" s="1"/>
  <c r="A2" i="5" s="1"/>
  <c r="A2" i="7" s="1"/>
  <c r="A2" i="6" l="1"/>
  <c r="J129" i="1"/>
  <c r="K129" i="1"/>
  <c r="J131" i="1"/>
  <c r="K131" i="1" s="1"/>
  <c r="J132" i="1"/>
  <c r="K132" i="1" s="1"/>
  <c r="J130" i="1"/>
  <c r="K130" i="1" s="1"/>
  <c r="K134" i="1" l="1"/>
  <c r="F38" i="7" s="1"/>
  <c r="F39" i="7" s="1"/>
  <c r="J133" i="1"/>
  <c r="E41" i="7" s="1"/>
  <c r="F42" i="7" l="1"/>
  <c r="F43" i="7" s="1"/>
  <c r="I58" i="7"/>
  <c r="H58" i="7"/>
  <c r="N58" i="7"/>
  <c r="J58" i="7"/>
  <c r="P58" i="7"/>
  <c r="G58" i="7"/>
  <c r="K58" i="7"/>
  <c r="O58" i="7"/>
  <c r="L58" i="7"/>
  <c r="M58" i="7"/>
  <c r="H132" i="1" l="1"/>
  <c r="E147" i="1"/>
  <c r="H129" i="1"/>
  <c r="H131" i="1"/>
  <c r="E139" i="1"/>
  <c r="E18" i="1"/>
  <c r="H130" i="1"/>
  <c r="E20" i="1" l="1"/>
  <c r="E19" i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tc={1E3D0422-52F4-44C6-8771-865FBA1501F6}</author>
    <author>tc={EF64DE43-F654-46F4-8889-6D3B17E797EA}</author>
    <author>tc={FACF1333-1561-4A1C-AA6B-526B7FE6425C}</author>
    <author>tc={863A34D1-B4D8-4F9D-B55F-7AF7385DE354}</author>
    <author>tc={089B9A23-3ED4-4004-94B2-CF7C59E9B91E}</author>
  </authors>
  <commentList>
    <comment ref="B30" authorId="0" shapeId="0" xr:uid="{1E3D0422-52F4-44C6-8771-865FBA1501F6}">
      <text>
        <t>[Threaded comment]
Your version of Excel allows you to read this threaded comment; however, any edits to it will get removed if the file is opened in a newer version of Excel. Learn more: https://go.microsoft.com/fwlink/?linkid=870924
Comment:
    Scenario manager not linked</t>
      </text>
    </comment>
    <comment ref="C31" authorId="1" shapeId="0" xr:uid="{EF64DE43-F654-46F4-8889-6D3B17E797EA}">
      <text>
        <t>[Threaded comment]
Your version of Excel allows you to read this threaded comment; however, any edits to it will get removed if the file is opened in a newer version of Excel. Learn more: https://go.microsoft.com/fwlink/?linkid=870924
Comment:
    Inflation inconsistency US v. UK</t>
      </text>
    </comment>
    <comment ref="C37" authorId="2" shapeId="0" xr:uid="{FACF1333-1561-4A1C-AA6B-526B7FE6425C}">
      <text>
        <t>[Threaded comment]
Your version of Excel allows you to read this threaded comment; however, any edits to it will get removed if the file is opened in a newer version of Excel. Learn more: https://go.microsoft.com/fwlink/?linkid=870924
Comment:
    Tax shield added</t>
      </text>
    </comment>
    <comment ref="I129" authorId="3" shapeId="0" xr:uid="{863A34D1-B4D8-4F9D-B55F-7AF7385DE354}">
      <text>
        <t>[Threaded comment]
Your version of Excel allows you to read this threaded comment; however, any edits to it will get removed if the file is opened in a newer version of Excel. Learn more: https://go.microsoft.com/fwlink/?linkid=870924
Comment:
    Logical coding is incorrect</t>
      </text>
    </comment>
    <comment ref="F143" authorId="4" shapeId="0" xr:uid="{089B9A23-3ED4-4004-94B2-CF7C59E9B91E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table is link into the model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tc={6318D07A-F76F-466E-A747-221E4EB904B6}</author>
    <author>tc={A0EED222-E424-4D87-BB51-85091EAB9703}</author>
  </authors>
  <commentList>
    <comment ref="G12" authorId="0" shapeId="0" xr:uid="{6318D07A-F76F-466E-A747-221E4EB904B6}">
      <text>
        <t>[Threaded comment]
Your version of Excel allows you to read this threaded comment; however, any edits to it will get removed if the file is opened in a newer version of Excel. Learn more: https://go.microsoft.com/fwlink/?linkid=870924
Comment:
    Wrong sign on the working capital</t>
      </text>
    </comment>
    <comment ref="G17" authorId="1" shapeId="0" xr:uid="{A0EED222-E424-4D87-BB51-85091EAB9703}">
      <text>
        <t>[Threaded comment]
Your version of Excel allows you to read this threaded comment; however, any edits to it will get removed if the file is opened in a newer version of Excel. Learn more: https://go.microsoft.com/fwlink/?linkid=870924
Comment:
    Sum function doesn't capture the full array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tc={D8FA6539-24E3-4E4A-8C8D-22297A5F5CE8}</author>
    <author>tc={F7AAF6FA-860E-4AD0-9150-8A83F612FD5A}</author>
    <author>tc={85C1F9D3-1D1E-4494-A57D-3C56D88433BC}</author>
    <author>tc={9F42B528-60C4-4FD2-BA9F-DEDF651B15AF}</author>
  </authors>
  <commentList>
    <comment ref="G4" authorId="0" shapeId="0" xr:uid="{D8FA6539-24E3-4E4A-8C8D-22297A5F5CE8}">
      <text>
        <t>[Threaded comment]
Your version of Excel allows you to read this threaded comment; however, any edits to it will get removed if the file is opened in a newer version of Excel. Learn more: https://go.microsoft.com/fwlink/?linkid=870924
Comment:
    Depreciation wrong sign coded</t>
      </text>
    </comment>
    <comment ref="O5" authorId="1" shapeId="0" xr:uid="{F7AAF6FA-860E-4AD0-9150-8A83F612FD5A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Hardcoded cell</t>
      </text>
    </comment>
    <comment ref="G10" authorId="2" shapeId="0" xr:uid="{85C1F9D3-1D1E-4494-A57D-3C56D88433BC}">
      <text>
        <t>[Threaded comment]
Your version of Excel allows you to read this threaded comment; however, any edits to it will get removed if the file is opened in a newer version of Excel. Learn more: https://go.microsoft.com/fwlink/?linkid=870924
Comment:
    Sub-total has been rolled forward</t>
      </text>
    </comment>
    <comment ref="B15" authorId="3" shapeId="0" xr:uid="{9F42B528-60C4-4FD2-BA9F-DEDF651B15AF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sheet has been plugged through equity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tc={CF36F75C-B558-4F06-8B5F-4B406B93A2EB}</author>
    <author>tc={20AB86F9-B755-4C02-A36A-F616E74FC8C2}</author>
    <author>tc={392DE5D0-4AA9-4AD2-9010-FD08BF38BDC8}</author>
    <author>tc={5CBACFDE-84EA-4F86-AA9C-FD71FEE4EB4E}</author>
  </authors>
  <commentList>
    <comment ref="G24" authorId="0" shapeId="0" xr:uid="{CF36F75C-B558-4F06-8B5F-4B406B93A2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Discounting does not capture the stub</t>
      </text>
    </comment>
    <comment ref="F27" authorId="1" shapeId="0" xr:uid="{20AB86F9-B755-4C02-A36A-F616E74FC8C2}">
      <text>
        <t>[Threaded comment]
Your version of Excel allows you to read this threaded comment; however, any edits to it will get removed if the file is opened in a newer version of Excel. Learn more: https://go.microsoft.com/fwlink/?linkid=870924
Comment:
    Terminal value has not been discounted</t>
      </text>
    </comment>
    <comment ref="F33" authorId="2" shapeId="0" xr:uid="{392DE5D0-4AA9-4AD2-9010-FD08BF38BDC8}">
      <text>
        <t>[Threaded comment]
Your version of Excel allows you to read this threaded comment; however, any edits to it will get removed if the file is opened in a newer version of Excel. Learn more: https://go.microsoft.com/fwlink/?linkid=870924
Comment:
    Wrong sign</t>
      </text>
    </comment>
    <comment ref="F35" authorId="3" shapeId="0" xr:uid="{5CBACFDE-84EA-4F86-AA9C-FD71FEE4EB4E}">
      <text>
        <t>[Threaded comment]
Your version of Excel allows you to read this threaded comment; however, any edits to it will get removed if the file is opened in a newer version of Excel. Learn more: https://go.microsoft.com/fwlink/?linkid=870924
Comment:
    Wrong side for a profitable NCI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<sst xmlns="http://schemas.openxmlformats.org/spreadsheetml/2006/main" count="352" uniqueCount="268">
  <si>
    <t>Company name</t>
  </si>
  <si>
    <t>Historical year end</t>
  </si>
  <si>
    <t>Valuation date</t>
  </si>
  <si>
    <t>Currency</t>
  </si>
  <si>
    <t>Currency denomination</t>
  </si>
  <si>
    <t>m</t>
  </si>
  <si>
    <t>Stub period</t>
  </si>
  <si>
    <t>Company information</t>
  </si>
  <si>
    <t>Cost of capital assumptions</t>
  </si>
  <si>
    <t>Terminal value assumptions</t>
  </si>
  <si>
    <t>Sustainable iROIC</t>
  </si>
  <si>
    <t>Sustainable growth rate</t>
  </si>
  <si>
    <t>Cost of equity</t>
  </si>
  <si>
    <t>Gross yield</t>
  </si>
  <si>
    <t>Marginal tax rate</t>
  </si>
  <si>
    <t>Cost of debt</t>
  </si>
  <si>
    <t>Target D/D+E at MV</t>
  </si>
  <si>
    <t>Target E/D+E at MV</t>
  </si>
  <si>
    <t>WACC</t>
  </si>
  <si>
    <t>CoName</t>
  </si>
  <si>
    <t>Stub</t>
  </si>
  <si>
    <t>HYE</t>
  </si>
  <si>
    <t>CD</t>
  </si>
  <si>
    <t>Sustainable reinvestment rate</t>
  </si>
  <si>
    <t>Sustainable payout ratio</t>
  </si>
  <si>
    <t>Value spread</t>
  </si>
  <si>
    <t>Terminal value</t>
  </si>
  <si>
    <t>Terminal NOPAT</t>
  </si>
  <si>
    <t>Revenue</t>
  </si>
  <si>
    <t>Cost of sales</t>
  </si>
  <si>
    <t>Administrative expenses</t>
  </si>
  <si>
    <t>Exceptional administrative expenses</t>
  </si>
  <si>
    <t>Exceptional reversal of impairment of assets</t>
  </si>
  <si>
    <t>Finance costs</t>
  </si>
  <si>
    <t>Finance income</t>
  </si>
  <si>
    <t>Exceptional finance costs</t>
  </si>
  <si>
    <t>Profit before taxation</t>
  </si>
  <si>
    <t>Taxation</t>
  </si>
  <si>
    <t>Profit for the financial period</t>
  </si>
  <si>
    <t>Gross profit</t>
  </si>
  <si>
    <t>Operating profit</t>
  </si>
  <si>
    <t>As reported</t>
  </si>
  <si>
    <t>Check</t>
  </si>
  <si>
    <t>Exceptional net of tax</t>
  </si>
  <si>
    <t>Exceptionals (gross)</t>
  </si>
  <si>
    <t>TaxRate</t>
  </si>
  <si>
    <t>Tax shield</t>
  </si>
  <si>
    <t>Exceptionals (net)</t>
  </si>
  <si>
    <t>Workings</t>
  </si>
  <si>
    <t>Start</t>
  </si>
  <si>
    <t>Dividends</t>
  </si>
  <si>
    <t>End</t>
  </si>
  <si>
    <t>Other gains (losses)</t>
  </si>
  <si>
    <t>OCI</t>
  </si>
  <si>
    <t>TOCI</t>
  </si>
  <si>
    <t>Reconcilation of equity</t>
  </si>
  <si>
    <t>As reported:</t>
  </si>
  <si>
    <t>Profit for the period</t>
  </si>
  <si>
    <t>Adjustments for:</t>
  </si>
  <si>
    <t>Depreciation of property, plant and equipment</t>
  </si>
  <si>
    <t>Depreciation of right-of-use assets</t>
  </si>
  <si>
    <t>Amortisation of intangible assets</t>
  </si>
  <si>
    <t>Impairment of property, plant and equipment</t>
  </si>
  <si>
    <t>Reversal of impairment of property, plant and equipment – exceptionals</t>
  </si>
  <si>
    <t>Reversal of impairment of right-of-use assets – exceptionals</t>
  </si>
  <si>
    <t>Gain on lease disposal</t>
  </si>
  <si>
    <t>Loss on disposal of property, plant and equipment</t>
  </si>
  <si>
    <t>Gain on lease modifications</t>
  </si>
  <si>
    <t>Share-based payment charge</t>
  </si>
  <si>
    <t>Increase in inventory</t>
  </si>
  <si>
    <t>Decrease/(increase) in debtors</t>
  </si>
  <si>
    <t>Increase in creditors, provisions and pensions</t>
  </si>
  <si>
    <t>Cash generated from operations</t>
  </si>
  <si>
    <t>Pension scheme contributions</t>
  </si>
  <si>
    <t>Tax paid</t>
  </si>
  <si>
    <t>Total net cash generated from operating activities</t>
  </si>
  <si>
    <t>CASH FLOWS FROM INVESTING ACTIVITIES</t>
  </si>
  <si>
    <t>Purchase of non-current assets:</t>
  </si>
  <si>
    <t>Property, plant and equipment additions</t>
  </si>
  <si>
    <t>Intangible asset additions</t>
  </si>
  <si>
    <t>Movement on capital expenditure accrual</t>
  </si>
  <si>
    <t>Cash outflow from purchase of non-current assets</t>
  </si>
  <si>
    <t>Acquisition of subsidiaries net of cash acquired</t>
  </si>
  <si>
    <t>Total net cash outflow from investing activities</t>
  </si>
  <si>
    <t>CASH FLOWS FROM FINANCING ACTIVITIES</t>
  </si>
  <si>
    <t>Purchase of own shares</t>
  </si>
  <si>
    <t>Payment of capital element of leases</t>
  </si>
  <si>
    <t>Payment of interest element of leases</t>
  </si>
  <si>
    <t>Interest paid</t>
  </si>
  <si>
    <t>Interest received</t>
  </si>
  <si>
    <t>Net cash outflow from financing activities</t>
  </si>
  <si>
    <t>Net increase in cash and cash equivalents</t>
  </si>
  <si>
    <t>Cash and cash equivalents at the beginning of the period</t>
  </si>
  <si>
    <t>Exchange (losses)/gains on cash and cash equivalents</t>
  </si>
  <si>
    <t>Cash and cash equivalents at the end of period</t>
  </si>
  <si>
    <t>Other investing cash flows</t>
  </si>
  <si>
    <t>Other financing cash flows</t>
  </si>
  <si>
    <t>Tagging</t>
  </si>
  <si>
    <t>Depreciation</t>
  </si>
  <si>
    <t>Amortisation</t>
  </si>
  <si>
    <t>Net interest paid</t>
  </si>
  <si>
    <t>Cash and equivalents</t>
  </si>
  <si>
    <t>Total assets</t>
  </si>
  <si>
    <t>Total liabilities</t>
  </si>
  <si>
    <t>Total equity</t>
  </si>
  <si>
    <t>Total liabilities and equity</t>
  </si>
  <si>
    <t>ASSETS</t>
  </si>
  <si>
    <t>NON-CURRENT ASSETS</t>
  </si>
  <si>
    <t>Goodwill</t>
  </si>
  <si>
    <t>Intangible assets</t>
  </si>
  <si>
    <t>Property, plant and equipment</t>
  </si>
  <si>
    <t>Right-of-use assets</t>
  </si>
  <si>
    <t>Deferred tax assets</t>
  </si>
  <si>
    <t>Post-employment benefit asset</t>
  </si>
  <si>
    <t>Trade and other receivables</t>
  </si>
  <si>
    <t>CURRENT ASSETS</t>
  </si>
  <si>
    <t>Inventories</t>
  </si>
  <si>
    <t>Current tax asset</t>
  </si>
  <si>
    <t>Cash and cash equivalents</t>
  </si>
  <si>
    <t>LIABILITIES</t>
  </si>
  <si>
    <t>CURRENT LIABILITIES</t>
  </si>
  <si>
    <t>Trade and other payables</t>
  </si>
  <si>
    <t>Current tax liability</t>
  </si>
  <si>
    <t>Lease liabilities</t>
  </si>
  <si>
    <t>Provisions</t>
  </si>
  <si>
    <t>NON-CURRENT LIABILITIES</t>
  </si>
  <si>
    <t>Deferred tax liabilities</t>
  </si>
  <si>
    <t>Borrowings</t>
  </si>
  <si>
    <t>Post-employment benefit obligations</t>
  </si>
  <si>
    <t>Net assets</t>
  </si>
  <si>
    <t>EQUITY</t>
  </si>
  <si>
    <t>Share capital</t>
  </si>
  <si>
    <t>Share premium</t>
  </si>
  <si>
    <t>Merger reserve</t>
  </si>
  <si>
    <t>Other reserves</t>
  </si>
  <si>
    <t>Retained earnings</t>
  </si>
  <si>
    <t>Foreign exchange reserve</t>
  </si>
  <si>
    <t>TOTAL ASSETS</t>
  </si>
  <si>
    <t>Other assets</t>
  </si>
  <si>
    <t>Other liabilities</t>
  </si>
  <si>
    <t>Base rates and drivers</t>
  </si>
  <si>
    <t>Revenue growth rate</t>
  </si>
  <si>
    <t>Cost of sales margin</t>
  </si>
  <si>
    <t>Admin expenses margin</t>
  </si>
  <si>
    <t>Model diagnostics</t>
  </si>
  <si>
    <t>Does the balance sheet balance?</t>
  </si>
  <si>
    <t>Stock price information</t>
  </si>
  <si>
    <t>Current stock price</t>
  </si>
  <si>
    <t>52-week high</t>
  </si>
  <si>
    <t>52-week low</t>
  </si>
  <si>
    <t>GBP</t>
  </si>
  <si>
    <t>Denomination (forecast)</t>
  </si>
  <si>
    <t>Denomination (stock price)</t>
  </si>
  <si>
    <t>p</t>
  </si>
  <si>
    <t>Implied fundamental valuation</t>
  </si>
  <si>
    <t>Income statement</t>
  </si>
  <si>
    <t>Cash flow statement &amp; Balance sheet</t>
  </si>
  <si>
    <t>All diagnostics passed?</t>
  </si>
  <si>
    <t>Tests</t>
  </si>
  <si>
    <t>Ticker</t>
  </si>
  <si>
    <t>WOSG.L</t>
  </si>
  <si>
    <t>Watches of Switzerland</t>
  </si>
  <si>
    <t>Capex as %tage of revenue</t>
  </si>
  <si>
    <t>Capex to depreciation (x)</t>
  </si>
  <si>
    <t>Effective tax rate</t>
  </si>
  <si>
    <t>Effective interest rate</t>
  </si>
  <si>
    <t>Debt issuance</t>
  </si>
  <si>
    <t>Debt to EBITDA</t>
  </si>
  <si>
    <t>EBITDA</t>
  </si>
  <si>
    <t>EBIT</t>
  </si>
  <si>
    <t>DA</t>
  </si>
  <si>
    <t>Operating model</t>
  </si>
  <si>
    <t>Reinvestment model</t>
  </si>
  <si>
    <t>Taxes on oeprations</t>
  </si>
  <si>
    <t>NOPAT</t>
  </si>
  <si>
    <t>Reinvestment</t>
  </si>
  <si>
    <t>Working:</t>
  </si>
  <si>
    <t>Taxes paid on operations</t>
  </si>
  <si>
    <t>Interest tax shield</t>
  </si>
  <si>
    <t>Taxes on operations</t>
  </si>
  <si>
    <t>Free cash flow to the firm</t>
  </si>
  <si>
    <t>FCFF to be discounted</t>
  </si>
  <si>
    <t>PV of the FCFF</t>
  </si>
  <si>
    <t>Enterprise value</t>
  </si>
  <si>
    <t>PV of the visible period</t>
  </si>
  <si>
    <t>PV of the terminal period</t>
  </si>
  <si>
    <t>Equity bridge</t>
  </si>
  <si>
    <t>Equity value</t>
  </si>
  <si>
    <t>Basic stock count</t>
  </si>
  <si>
    <t>Diluted stock count</t>
  </si>
  <si>
    <t>ITM equity awards</t>
  </si>
  <si>
    <t>Less:</t>
  </si>
  <si>
    <t>Add:</t>
  </si>
  <si>
    <t>Pension deficit</t>
  </si>
  <si>
    <t>Non-controlling interest</t>
  </si>
  <si>
    <t>Equity accounted investment</t>
  </si>
  <si>
    <t>Marketable securities</t>
  </si>
  <si>
    <t>Basic stock count (m)</t>
  </si>
  <si>
    <t>Equity value per share</t>
  </si>
  <si>
    <t>ITM Equity award dilution</t>
  </si>
  <si>
    <t>LTIPs</t>
  </si>
  <si>
    <t>DBP</t>
  </si>
  <si>
    <t>Source:</t>
  </si>
  <si>
    <t>Annual report 2023 page 216</t>
  </si>
  <si>
    <t>Scheme name</t>
  </si>
  <si>
    <t>Exerciseable</t>
  </si>
  <si>
    <t>Strike</t>
  </si>
  <si>
    <t>SAYE</t>
  </si>
  <si>
    <t>FY22 scheme</t>
  </si>
  <si>
    <t xml:space="preserve">Current </t>
  </si>
  <si>
    <t>price</t>
  </si>
  <si>
    <t>Implied</t>
  </si>
  <si>
    <t>Dilution based on :</t>
  </si>
  <si>
    <t>Implied fundamental price</t>
  </si>
  <si>
    <t>ITM?</t>
  </si>
  <si>
    <t xml:space="preserve">Cash </t>
  </si>
  <si>
    <t>proceeds</t>
  </si>
  <si>
    <t># of ITM</t>
  </si>
  <si>
    <t>awards (m)</t>
  </si>
  <si>
    <t>Cash proceeds from equity award exercise</t>
  </si>
  <si>
    <t>Drivers applied to the model</t>
  </si>
  <si>
    <t>Equity valuation view</t>
  </si>
  <si>
    <t>Sensitivity analysis</t>
  </si>
  <si>
    <t>Sensitivity objectives</t>
  </si>
  <si>
    <t>Implied equity value</t>
  </si>
  <si>
    <t>Increment</t>
  </si>
  <si>
    <t>Implied fundamental multiples</t>
  </si>
  <si>
    <t>Earnings</t>
  </si>
  <si>
    <t>Base</t>
  </si>
  <si>
    <t>Upside</t>
  </si>
  <si>
    <t>Downside</t>
  </si>
  <si>
    <t>Equity valuation camera</t>
  </si>
  <si>
    <t>Peer group benchmarking</t>
  </si>
  <si>
    <t>Peer</t>
  </si>
  <si>
    <t>Mkt Cap</t>
  </si>
  <si>
    <t>Debt</t>
  </si>
  <si>
    <t>Debt to</t>
  </si>
  <si>
    <t>Total Cap</t>
  </si>
  <si>
    <t>Levered</t>
  </si>
  <si>
    <t>adj. beta</t>
  </si>
  <si>
    <t xml:space="preserve">Marginal </t>
  </si>
  <si>
    <t>tax rate</t>
  </si>
  <si>
    <t>Unlevered</t>
  </si>
  <si>
    <t>beta</t>
  </si>
  <si>
    <t>Company A</t>
  </si>
  <si>
    <t>Company B</t>
  </si>
  <si>
    <t>Company C</t>
  </si>
  <si>
    <t>Company D</t>
  </si>
  <si>
    <t>Company E</t>
  </si>
  <si>
    <t>Company F</t>
  </si>
  <si>
    <t>Average</t>
  </si>
  <si>
    <t>Median</t>
  </si>
  <si>
    <t>High</t>
  </si>
  <si>
    <t>Low</t>
  </si>
  <si>
    <t>Levered beta transition</t>
  </si>
  <si>
    <t>Unlevered beta selection</t>
  </si>
  <si>
    <t>Relevered beta</t>
  </si>
  <si>
    <t>Target D/E at MV</t>
  </si>
  <si>
    <t>Upside (downside) to current</t>
  </si>
  <si>
    <t>Upside (downside) to 52 week high</t>
  </si>
  <si>
    <t>Upside (downside) to 52 week low</t>
  </si>
  <si>
    <t>EMRP (country risk adjusted)</t>
  </si>
  <si>
    <t>Model</t>
  </si>
  <si>
    <t>input</t>
  </si>
  <si>
    <t>Table</t>
  </si>
  <si>
    <t>g</t>
  </si>
  <si>
    <t>Risk-free rate (US 10yr)</t>
  </si>
  <si>
    <t>Adjusted beta (2yr weekly)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</si>
</sst>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\-dd\-yy"/>
    <numFmt numFmtId="165" formatCode="#,##0_);\(#,##0\);\-\-_)"/>
    <numFmt numFmtId="166" formatCode="0.0\x_);&quot;nm&quot;"/>
    <numFmt numFmtId="167" formatCode="0.00\x_);&quot;nm&quot;"/>
    <numFmt numFmtId="168" formatCode="#,##0.00_);\(#,##0.00\);\-\-_)"/>
    <numFmt numFmtId="169" formatCode="0.00%_);\(0.00%\);\-\-_)"/>
    <numFmt numFmtId="170" formatCode="0.0%_);\(0.0%\);\-\-_)"/>
    <numFmt numFmtId="171" formatCode="###0_);\(###0\);\-\-_)"/>
    <numFmt numFmtId="172" formatCode="#,##0&quot;bps&quot;_);\(#,##0&quot;bps&quot;\);\-\-_)"/>
    <numFmt numFmtId="173" formatCode="#,##0.0&quot; years&quot;_);\(#,##0.0&quot; years&quot;\);\-\-_)"/>
    <numFmt numFmtId="174" formatCode="#,##0&quot; days&quot;_);\(#,##0&quot; days&quot;\);\-\-_)"/>
    <numFmt numFmtId="176" formatCode="&quot;No&quot;;;&quot;Yes&quot;"/>
    <numFmt numFmtId="177" formatCode="&quot;Yes&quot;;;&quot;No&quot;"/>
    <numFmt numFmtId="178" formatCode="#,##0.0_);\(#,##0.0\);\-\-_)"/>
  </numFmts>
  <fonts count="28" x14ac:knownFonts="1">
    <font>
      <sz val="9"/>
      <color theme="1"/>
      <name val="Raleway Light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Microsoft JhengHei UI Light"/>
      <family val="2"/>
    </font>
    <font>
      <b/>
      <sz val="12"/>
      <color theme="3"/>
      <name val="Microsoft JhengHei UI Light"/>
      <family val="2"/>
    </font>
    <font>
      <b/>
      <sz val="10"/>
      <color theme="3"/>
      <name val="Microsoft JhengHei UI Light"/>
      <family val="2"/>
    </font>
    <font>
      <b/>
      <sz val="9"/>
      <color theme="3"/>
      <name val="Microsoft JhengHei UI Light"/>
      <family val="2"/>
    </font>
    <font>
      <b/>
      <sz val="11"/>
      <color theme="3"/>
      <name val="Microsoft JhengHei UI Light"/>
      <family val="2"/>
    </font>
    <font>
      <i/>
      <sz val="9"/>
      <color rgb="FFC00000"/>
      <name val="Microsoft JhengHei UI Light"/>
      <family val="2"/>
    </font>
    <font>
      <sz val="9"/>
      <color theme="1"/>
      <name val="Microsoft JhengHei UI Light"/>
      <family val="2"/>
    </font>
    <font>
      <sz val="10"/>
      <color theme="1"/>
      <name val="Microsoft JhengHei UI Light"/>
      <family val="2"/>
    </font>
    <font>
      <sz val="9"/>
      <color theme="1"/>
      <name val="Corbel"/>
      <family val="2"/>
    </font>
    <font>
      <b/>
      <sz val="9"/>
      <color theme="1"/>
      <name val="Raleway Light"/>
    </font>
    <font>
      <u val="singleAccounting"/>
      <sz val="9"/>
      <color theme="1"/>
      <name val="Raleway Light"/>
    </font>
    <font>
      <sz val="9"/>
      <color rgb="FF000064"/>
      <name val="Raleway Light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178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26" fillId="33" borderId="10" applyNumberFormat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20" fillId="0" borderId="0" applyNumberForma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5" fontId="15" fillId="0" borderId="11" applyNumberFormat="0" applyFill="0" applyAlignment="0" applyProtection="0"/>
    <xf numFmtId="165" fontId="22" fillId="0" borderId="11" applyNumberFormat="0" applyFill="0" applyAlignment="0" applyProtection="0"/>
    <xf numFmtId="165" fontId="21" fillId="0" borderId="11" applyNumberFormat="0" applyFill="0" applyAlignment="0" applyProtection="0"/>
    <xf numFmtId="165" fontId="23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</cellStyleXfs>
  <cellXfs count="49">
    <xf numFmtId="178" fontId="0" fillId="0" borderId="0" xfId="0"/>
    <xf numFmtId="178" fontId="15" fillId="0" borderId="0" xfId="0" applyFont="1"/>
    <xf numFmtId="168" fontId="0" fillId="0" borderId="0" xfId="53" applyFont="1"/>
    <xf numFmtId="165" fontId="15" fillId="0" borderId="11" xfId="60"/>
    <xf numFmtId="165" fontId="26" fillId="33" borderId="10" xfId="49"/>
    <xf numFmtId="15" fontId="26" fillId="33" borderId="10" xfId="49" applyNumberFormat="1"/>
    <xf numFmtId="170" fontId="0" fillId="0" borderId="0" xfId="55" applyFont="1"/>
    <xf numFmtId="178" fontId="0" fillId="0" borderId="12" xfId="0" applyBorder="1"/>
    <xf numFmtId="170" fontId="0" fillId="0" borderId="12" xfId="55" applyFont="1" applyBorder="1"/>
    <xf numFmtId="170" fontId="26" fillId="33" borderId="10" xfId="49" applyNumberFormat="1"/>
    <xf numFmtId="170" fontId="0" fillId="0" borderId="0" xfId="55" applyFont="1" applyBorder="1"/>
    <xf numFmtId="165" fontId="20" fillId="0" borderId="0" xfId="52"/>
    <xf numFmtId="178" fontId="24" fillId="0" borderId="0" xfId="0" applyFont="1"/>
    <xf numFmtId="178" fontId="0" fillId="0" borderId="14" xfId="0" applyBorder="1"/>
    <xf numFmtId="15" fontId="25" fillId="0" borderId="0" xfId="47" applyFont="1"/>
    <xf numFmtId="178" fontId="15" fillId="0" borderId="11" xfId="60" applyNumberFormat="1"/>
    <xf numFmtId="178" fontId="26" fillId="33" borderId="10" xfId="49" applyNumberFormat="1"/>
    <xf numFmtId="168" fontId="26" fillId="33" borderId="10" xfId="49" applyNumberFormat="1"/>
    <xf numFmtId="178" fontId="20" fillId="0" borderId="0" xfId="52" applyNumberFormat="1"/>
    <xf numFmtId="178" fontId="26" fillId="33" borderId="13" xfId="49" applyNumberFormat="1" applyBorder="1"/>
    <xf numFmtId="178" fontId="0" fillId="0" borderId="15" xfId="0" applyBorder="1"/>
    <xf numFmtId="170" fontId="26" fillId="33" borderId="10" xfId="55" applyFont="1" applyFill="1" applyBorder="1"/>
    <xf numFmtId="176" fontId="0" fillId="0" borderId="0" xfId="64" applyFont="1"/>
    <xf numFmtId="176" fontId="0" fillId="0" borderId="12" xfId="64" applyFont="1" applyBorder="1"/>
    <xf numFmtId="8" fontId="20" fillId="0" borderId="0" xfId="52" applyNumberFormat="1"/>
    <xf numFmtId="178" fontId="0" fillId="0" borderId="0" xfId="0" applyAlignment="1">
      <alignment horizontal="left" indent="1"/>
    </xf>
    <xf numFmtId="166" fontId="0" fillId="0" borderId="0" xfId="50" applyFont="1"/>
    <xf numFmtId="166" fontId="26" fillId="33" borderId="10" xfId="50" applyFont="1" applyFill="1" applyBorder="1"/>
    <xf numFmtId="178" fontId="0" fillId="0" borderId="0" xfId="0" applyAlignment="1">
      <alignment horizontal="right"/>
    </xf>
    <xf numFmtId="4" fontId="25" fillId="0" borderId="0" xfId="0" applyNumberFormat="1" applyFont="1" applyAlignment="1">
      <alignment horizontal="right"/>
    </xf>
    <xf numFmtId="178" fontId="26" fillId="33" borderId="0" xfId="49" applyNumberFormat="1" applyBorder="1"/>
    <xf numFmtId="168" fontId="0" fillId="0" borderId="12" xfId="53" applyFont="1" applyBorder="1"/>
    <xf numFmtId="178" fontId="15" fillId="0" borderId="11" xfId="60" applyNumberFormat="1" applyFill="1"/>
    <xf numFmtId="178" fontId="25" fillId="0" borderId="0" xfId="0" applyFont="1" applyAlignment="1">
      <alignment horizontal="right"/>
    </xf>
    <xf numFmtId="166" fontId="0" fillId="0" borderId="0" xfId="50" applyFont="1" applyBorder="1"/>
    <xf numFmtId="167" fontId="0" fillId="0" borderId="0" xfId="51" applyFont="1" applyBorder="1"/>
    <xf numFmtId="167" fontId="0" fillId="0" borderId="0" xfId="51" applyFont="1"/>
    <xf numFmtId="166" fontId="0" fillId="0" borderId="0" xfId="50" applyFont="1" applyFill="1" applyBorder="1"/>
    <xf numFmtId="170" fontId="25" fillId="0" borderId="0" xfId="55" applyFont="1" applyBorder="1" applyAlignment="1">
      <alignment horizontal="right"/>
    </xf>
    <xf numFmtId="178" fontId="25" fillId="0" borderId="0" xfId="0" applyFont="1"/>
    <xf numFmtId="170" fontId="0" fillId="0" borderId="16" xfId="55" applyFont="1" applyBorder="1"/>
    <xf numFmtId="170" fontId="0" fillId="0" borderId="17" xfId="55" applyFont="1" applyBorder="1"/>
    <xf numFmtId="168" fontId="0" fillId="0" borderId="18" xfId="53" applyFont="1" applyBorder="1"/>
    <xf numFmtId="178" fontId="0" fillId="34" borderId="0" xfId="0" applyFill="1"/>
    <xf numFmtId="178" fontId="0" fillId="34" borderId="14" xfId="0" applyFill="1" applyBorder="1"/>
    <xf numFmtId="177" fontId="0" fillId="34" borderId="0" xfId="65" applyFont="1" applyFill="1"/>
    <xf numFmtId="170" fontId="0" fillId="34" borderId="0" xfId="55" applyFont="1" applyFill="1"/>
    <xf numFmtId="178" fontId="0" fillId="34" borderId="12" xfId="0" applyFill="1" applyBorder="1"/>
    <xf numFmtId="170" fontId="0" fillId="34" borderId="12" xfId="55" applyFont="1" applyFill="1" applyBorder="1"/>
  </cellXfs>
  <cellStyles count="66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bps" xfId="57" xr:uid="{003420DF-D5A7-47D9-8EF9-98160F700D0C}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ates Europe" xfId="47" xr:uid="{B43973D3-F53A-4D95-914E-C68B6E7CE31F}"/>
    <cellStyle name="Dates US" xfId="48" xr:uid="{52DC950A-8388-4ABA-BEB0-225706D325A6}"/>
    <cellStyle name="Days" xfId="59" xr:uid="{CBA31010-7770-42F5-9A47-02A07DDAEE18}"/>
    <cellStyle name="Explanatory Text" xfId="21" builtinId="53" hidden="1"/>
    <cellStyle name="Good" xfId="11" builtinId="26" hidden="1"/>
    <cellStyle name="Heading 1" xfId="7" builtinId="16" hidden="1" customBuiltin="1"/>
    <cellStyle name="Heading 1" xfId="60" builtinId="16" customBuiltin="1"/>
    <cellStyle name="Heading 2" xfId="8" builtinId="17" hidden="1" customBuiltin="1"/>
    <cellStyle name="Heading 2" xfId="61" xr:uid="{9B0705DD-84E0-4328-9DA5-BEC4343A8D8F}"/>
    <cellStyle name="Heading 3" xfId="9" builtinId="18" hidden="1" customBuiltin="1"/>
    <cellStyle name="Heading 3" xfId="62" xr:uid="{6C6A4338-1595-45FB-8179-7FA63909E486}"/>
    <cellStyle name="Heading 4" xfId="10" builtinId="19" hidden="1" customBuiltin="1"/>
    <cellStyle name="Input" xfId="14" builtinId="20" hidden="1"/>
    <cellStyle name="Inputs" xfId="49" xr:uid="{D2D72BBA-63B6-4E28-AFD9-8AE00606C02B}"/>
    <cellStyle name="Linked Cell" xfId="17" builtinId="24" hidden="1"/>
    <cellStyle name="Multiple 1dp" xfId="50" xr:uid="{8A0327A2-562C-4BAD-9A87-344BAD26D68F}"/>
    <cellStyle name="Multiple 2dp" xfId="51" xr:uid="{9FE26FE9-F780-4259-972E-B29EC9E0C002}"/>
    <cellStyle name="Name tag" xfId="52" xr:uid="{F7AF7362-7D12-4601-BCF9-4E33BE25B168}"/>
    <cellStyle name="Neutral" xfId="13" builtinId="28" hidden="1"/>
    <cellStyle name="Nil Balance No" xfId="65" xr:uid="{67176373-6B1B-48C6-AAF9-0702B648EB41}"/>
    <cellStyle name="Nil balance Yes" xfId="64" xr:uid="{3192C84D-8A9D-4416-B88A-9EC1278AC896}"/>
    <cellStyle name="No Commas" xfId="56" xr:uid="{6DEEF65B-6800-4D15-A191-B87F2CA7C819}"/>
    <cellStyle name="Normal" xfId="0" builtinId="0" customBuiltin="1"/>
    <cellStyle name="Normal 2" xfId="63" xr:uid="{D9ECDF3E-F7E9-4B21-A3F5-34311DEFFA21}"/>
    <cellStyle name="Normal 2dp" xfId="53" xr:uid="{A976A2DE-030C-4B01-8F3E-F1C60C2CA094}"/>
    <cellStyle name="Note" xfId="20" builtinId="10" hidden="1"/>
    <cellStyle name="Output" xfId="15" builtinId="21" hidden="1"/>
    <cellStyle name="Percent" xfId="5" builtinId="5" hidden="1"/>
    <cellStyle name="Percent 1dp" xfId="55" xr:uid="{739B8907-C86E-4299-89A0-F236A497FF35}"/>
    <cellStyle name="Percent 2dp" xfId="54" xr:uid="{E4E70B7C-A81C-484D-BA6B-39DB5BF20433}"/>
    <cellStyle name="Title" xfId="6" builtinId="15" hidden="1"/>
    <cellStyle name="Total" xfId="22" builtinId="25" hidden="1"/>
    <cellStyle name="Warning Text" xfId="19" builtinId="11" hidden="1"/>
    <cellStyle name="Years 1dp" xfId="58" xr:uid="{8D6B8888-189F-40CC-B5DF-95ED8427D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6" fmlaLink="$D$124" fmlaRange="$C$125:$C$126" sel="1" val="0"/>
</file>

<file path=xl/ctrlProps/ctrlProp2.xml><?xml version="1.0" encoding="utf-8"?>
<formControlPr xmlns="http://schemas.microsoft.com/office/spreadsheetml/2009/9/main" objectType="List" dx="26" fmlaLink="$C$57" fmlaRange="$C$52:$C$55" sel="3" val="0"/>
</file>

<file path=xl/ctrlProps/ctrlProp3.xml><?xml version="1.0" encoding="utf-8"?>
<formControlPr xmlns="http://schemas.microsoft.com/office/spreadsheetml/2009/9/main" objectType="List" dx="26" fmlaLink="$D$22" fmlaRange="$C$22:$C$2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132</xdr:row>
          <xdr:rowOff>83820</xdr:rowOff>
        </xdr:from>
        <xdr:to>
          <xdr:col>2</xdr:col>
          <xdr:colOff>1417320</xdr:colOff>
          <xdr:row>134</xdr:row>
          <xdr:rowOff>60960</xdr:rowOff>
        </xdr:to>
        <xdr:sp macro="" textlink="">
          <xdr:nvSpPr>
            <xdr:cNvPr id="2049" name="List Box 1" descr="Equity award switch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30</xdr:row>
          <xdr:rowOff>15240</xdr:rowOff>
        </xdr:from>
        <xdr:to>
          <xdr:col>15</xdr:col>
          <xdr:colOff>492760</xdr:colOff>
          <xdr:row>35</xdr:row>
          <xdr:rowOff>15240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CF!$B$39:$F$43" spid="_x0000_s2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8456" y="5526024"/>
              <a:ext cx="3515360" cy="914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55</xdr:row>
          <xdr:rowOff>167640</xdr:rowOff>
        </xdr:from>
        <xdr:to>
          <xdr:col>2</xdr:col>
          <xdr:colOff>1463040</xdr:colOff>
          <xdr:row>58</xdr:row>
          <xdr:rowOff>167640</xdr:rowOff>
        </xdr:to>
        <xdr:sp macro="" textlink="">
          <xdr:nvSpPr>
            <xdr:cNvPr id="2064" name="List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53340</xdr:rowOff>
        </xdr:from>
        <xdr:to>
          <xdr:col>2</xdr:col>
          <xdr:colOff>1828800</xdr:colOff>
          <xdr:row>23</xdr:row>
          <xdr:rowOff>137160</xdr:rowOff>
        </xdr:to>
        <xdr:sp macro="" textlink="">
          <xdr:nvSpPr>
            <xdr:cNvPr id="2081" name="List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86360</xdr:colOff>
          <xdr:row>99</xdr:row>
          <xdr:rowOff>111760</xdr:rowOff>
        </xdr:from>
        <xdr:to>
          <xdr:col>6</xdr:col>
          <xdr:colOff>90424</xdr:colOff>
          <xdr:row>104</xdr:row>
          <xdr:rowOff>111760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CF!$B$39:$F$43" spid="_x0000_s21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8280" y="18314416"/>
              <a:ext cx="3515360" cy="914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nn\Dropbox%20(Personal)\%5eDigital%20Platforms\1.%20The%20Investment%20Analyst\2.%20Materials\Models\Illsutration%20Models\20230528%20Depreciation%20Waterfall.xlsx" TargetMode="External"/><Relationship Id="rId1" Type="http://schemas.openxmlformats.org/officeDocument/2006/relationships/externalLinkPath" Target="/Users/trinn/Dropbox%20(Personal)/%5eDigital%20Platforms/1.%20The%20Investment%20Analyst/2.%20Materials/Models/Illsutration%20Models/20230528%20Depreciation%20Waterfal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nn\Dropbox\%5eDigital%20Platforms\1.%20The%20Investment%20Analyst\2.%20Materials\Models\Full%20Models\Three%20statement\20230906%20Three%20statement%20and%20valuation%20(full).xlsx" TargetMode="External"/><Relationship Id="rId1" Type="http://schemas.openxmlformats.org/officeDocument/2006/relationships/externalLinkPath" Target="/Users/trinn/Dropbox/%5eDigital%20Platforms/1.%20The%20Investment%20Analyst/2.%20Materials/Models/Full%20Models/Three%20statement/20230906%20Three%20statement%20and%20valuation%20(fu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Waterfall"/>
      <sheetName val="Layout"/>
    </sheetNames>
    <sheetDataSet>
      <sheetData sheetId="0" refreshError="1"/>
      <sheetData sheetId="1">
        <row r="5">
          <cell r="E5">
            <v>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rol"/>
      <sheetName val="IS"/>
      <sheetName val="CFS"/>
      <sheetName val="BS"/>
      <sheetName val="DCF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4">
          <cell r="B104" t="str">
            <v>IRR analysis (stub adjusted)</v>
          </cell>
        </row>
      </sheetData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 Robinson" id="{933C195E-61CA-4FEF-B9F9-F0CAB45F649A}" userId="7c30d2d75ca9b41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0" dT="2023-09-07T13:17:03.74" personId="{933C195E-61CA-4FEF-B9F9-F0CAB45F649A}" id="{1E3D0422-52F4-44C6-8771-865FBA1501F6}">
    <text>Scenario manager not linked</text>
  </threadedComment>
  <threadedComment ref="C31" dT="2023-09-07T13:13:08.01" personId="{933C195E-61CA-4FEF-B9F9-F0CAB45F649A}" id="{EF64DE43-F654-46F4-8889-6D3B17E797EA}">
    <text>Inflation inconsistency US v. UK</text>
  </threadedComment>
  <threadedComment ref="C37" dT="2023-09-07T13:16:12.18" personId="{933C195E-61CA-4FEF-B9F9-F0CAB45F649A}" id="{FACF1333-1561-4A1C-AA6B-526B7FE6425C}">
    <text>Tax shield added</text>
  </threadedComment>
  <threadedComment ref="I129" dT="2023-09-07T13:10:31.98" personId="{933C195E-61CA-4FEF-B9F9-F0CAB45F649A}" id="{863A34D1-B4D8-4F9D-B55F-7AF7385DE354}">
    <text>Logical coding is incorrect</text>
  </threadedComment>
  <threadedComment ref="F143" dT="2023-09-07T13:06:02.33" personId="{933C195E-61CA-4FEF-B9F9-F0CAB45F649A}" id="{089B9A23-3ED4-4004-94B2-CF7C59E9B91E}">
    <text>Data table is link into the model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" dT="2023-09-07T13:08:53.85" personId="{933C195E-61CA-4FEF-B9F9-F0CAB45F649A}" id="{6318D07A-F76F-466E-A747-221E4EB904B6}">
    <text>Wrong sign on the working capital</text>
  </threadedComment>
  <threadedComment ref="G17" dT="2023-09-07T13:09:39.15" personId="{933C195E-61CA-4FEF-B9F9-F0CAB45F649A}" id="{A0EED222-E424-4D87-BB51-85091EAB9703}">
    <text>Sum function doesn't capture the full array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4" dT="2023-09-07T13:08:12.76" personId="{933C195E-61CA-4FEF-B9F9-F0CAB45F649A}" id="{D8FA6539-24E3-4E4A-8C8D-22297A5F5CE8}">
    <text>Depreciation wrong sign coded</text>
  </threadedComment>
  <threadedComment ref="O5" dT="2023-09-08T11:17:41.26" personId="{933C195E-61CA-4FEF-B9F9-F0CAB45F649A}" id="{F7AAF6FA-860E-4AD0-9150-8A83F612FD5A}">
    <text>Hardcoded cell</text>
  </threadedComment>
  <threadedComment ref="G10" dT="2023-09-07T13:06:24.73" personId="{933C195E-61CA-4FEF-B9F9-F0CAB45F649A}" id="{85C1F9D3-1D1E-4494-A57D-3C56D88433BC}">
    <text>Sub-total has been rolled forward</text>
  </threadedComment>
  <threadedComment ref="B15" dT="2023-09-07T13:06:54.62" personId="{933C195E-61CA-4FEF-B9F9-F0CAB45F649A}" id="{9F42B528-60C4-4FD2-BA9F-DEDF651B15AF}">
    <text>Balance sheet has been plugged through equity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24" dT="2023-09-07T13:05:23.03" personId="{933C195E-61CA-4FEF-B9F9-F0CAB45F649A}" id="{CF36F75C-B558-4F06-8B5F-4B406B93A2EB}">
    <text>Discounting does not capture the stub</text>
  </threadedComment>
  <threadedComment ref="F27" dT="2023-09-07T13:04:08.01" personId="{933C195E-61CA-4FEF-B9F9-F0CAB45F649A}" id="{20AB86F9-B755-4C02-A36A-F616E74FC8C2}">
    <text>Terminal value has not been discounted</text>
  </threadedComment>
  <threadedComment ref="F33" dT="2023-09-08T11:33:20.96" personId="{933C195E-61CA-4FEF-B9F9-F0CAB45F649A}" id="{392DE5D0-4AA9-4AD2-9010-FD08BF38BDC8}">
    <text>Wrong sign</text>
  </threadedComment>
  <threadedComment ref="F35" dT="2023-09-07T13:04:56.02" personId="{933C195E-61CA-4FEF-B9F9-F0CAB45F649A}" id="{5CBACFDE-84EA-4F86-AA9C-FD71FEE4EB4E}">
    <text>Wrong side for a profitable NCI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CC94-7658-4E0C-8C0A-FDEA1CF7BEB0}">
  <sheetPr codeName="Sheet1"/>
  <dimension ref="A1:Q152"/>
  <sheetViews>
    <sheetView showGridLines="0" tabSelected="1" zoomScale="125" zoomScaleNormal="125" workbookViewId="0">
      <selection activeCell="P17" sqref="P17"/>
    </sheetView>
  </sheetViews>
  <sheetFormatPr defaultRowHeight="14.4" x14ac:dyDescent="0.35"/>
  <cols>
    <col min="1" max="2" width="1.77734375" customWidth="1"/>
    <col min="3" max="3" width="30.77734375" customWidth="1"/>
    <col min="4" max="4" width="0.88671875" customWidth="1"/>
    <col min="10" max="10" width="10.21875" bestFit="1" customWidth="1"/>
    <col min="17" max="17" width="1.77734375" customWidth="1"/>
  </cols>
  <sheetData>
    <row r="1" spans="1:9" x14ac:dyDescent="0.35">
      <c r="A1" s="3" t="str">
        <f>"DCF FCFF valuation for "&amp;CoName</f>
        <v>DCF FCFF valuation for Watches of Switzerland</v>
      </c>
      <c r="B1" s="3"/>
      <c r="C1" s="3"/>
      <c r="D1" s="3"/>
      <c r="E1" s="3"/>
      <c r="F1" s="3"/>
      <c r="G1" s="3"/>
      <c r="H1" s="3"/>
      <c r="I1" s="3"/>
    </row>
    <row r="3" spans="1:9" x14ac:dyDescent="0.35">
      <c r="B3" s="3" t="s">
        <v>7</v>
      </c>
      <c r="C3" s="3"/>
      <c r="D3" s="3"/>
      <c r="E3" s="3"/>
      <c r="F3" s="3"/>
    </row>
    <row r="4" spans="1:9" x14ac:dyDescent="0.35">
      <c r="C4" t="s">
        <v>0</v>
      </c>
      <c r="E4" s="4" t="s">
        <v>161</v>
      </c>
      <c r="F4" s="11" t="s">
        <v>19</v>
      </c>
    </row>
    <row r="5" spans="1:9" x14ac:dyDescent="0.35">
      <c r="C5" t="s">
        <v>159</v>
      </c>
      <c r="E5" s="4" t="s">
        <v>160</v>
      </c>
      <c r="F5" s="11"/>
    </row>
    <row r="6" spans="1:9" x14ac:dyDescent="0.35">
      <c r="C6" t="s">
        <v>1</v>
      </c>
      <c r="E6" s="5">
        <v>45291</v>
      </c>
      <c r="F6" s="11" t="s">
        <v>21</v>
      </c>
    </row>
    <row r="7" spans="1:9" x14ac:dyDescent="0.35">
      <c r="C7" t="s">
        <v>2</v>
      </c>
      <c r="E7" s="5">
        <v>45336</v>
      </c>
      <c r="F7" s="11"/>
    </row>
    <row r="8" spans="1:9" x14ac:dyDescent="0.35">
      <c r="C8" t="s">
        <v>6</v>
      </c>
      <c r="E8" s="2">
        <f>YEARFRAC(E7,EDATE(E6,12),1)</f>
        <v>0.87704918032786883</v>
      </c>
      <c r="F8" s="11" t="s">
        <v>20</v>
      </c>
    </row>
    <row r="9" spans="1:9" x14ac:dyDescent="0.35">
      <c r="C9" t="s">
        <v>3</v>
      </c>
      <c r="E9" s="4" t="s">
        <v>150</v>
      </c>
    </row>
    <row r="10" spans="1:9" x14ac:dyDescent="0.35">
      <c r="C10" t="s">
        <v>151</v>
      </c>
      <c r="E10" s="4" t="s">
        <v>5</v>
      </c>
    </row>
    <row r="11" spans="1:9" x14ac:dyDescent="0.35">
      <c r="C11" t="s">
        <v>4</v>
      </c>
      <c r="E11" t="str">
        <f>E9&amp;E10</f>
        <v>GBPm</v>
      </c>
      <c r="F11" s="11" t="s">
        <v>22</v>
      </c>
    </row>
    <row r="12" spans="1:9" x14ac:dyDescent="0.35">
      <c r="C12" t="s">
        <v>152</v>
      </c>
      <c r="E12" t="s">
        <v>153</v>
      </c>
      <c r="F12" s="11"/>
    </row>
    <row r="13" spans="1:9" x14ac:dyDescent="0.35">
      <c r="B13" t="s">
        <v>146</v>
      </c>
      <c r="F13" s="11"/>
    </row>
    <row r="14" spans="1:9" x14ac:dyDescent="0.35">
      <c r="C14" t="s">
        <v>147</v>
      </c>
      <c r="E14" s="17">
        <v>613</v>
      </c>
      <c r="F14" t="str">
        <f>$E$9&amp;$E$12</f>
        <v>GBPp</v>
      </c>
    </row>
    <row r="15" spans="1:9" x14ac:dyDescent="0.35">
      <c r="C15" t="s">
        <v>148</v>
      </c>
      <c r="E15" s="17">
        <v>1061</v>
      </c>
      <c r="F15" t="str">
        <f t="shared" ref="F15:F16" si="0">$E$9&amp;$E$12</f>
        <v>GBPp</v>
      </c>
    </row>
    <row r="16" spans="1:9" x14ac:dyDescent="0.35">
      <c r="C16" t="s">
        <v>149</v>
      </c>
      <c r="E16" s="17">
        <v>486</v>
      </c>
      <c r="F16" t="str">
        <f t="shared" si="0"/>
        <v>GBPp</v>
      </c>
    </row>
    <row r="17" spans="2:11" x14ac:dyDescent="0.35">
      <c r="C17" t="s">
        <v>197</v>
      </c>
      <c r="E17" s="16">
        <v>239.57029700000001</v>
      </c>
    </row>
    <row r="18" spans="2:11" x14ac:dyDescent="0.35">
      <c r="C18" t="s">
        <v>154</v>
      </c>
      <c r="E18" s="2">
        <f>DCF!F43</f>
        <v>8.5764910780728467</v>
      </c>
      <c r="F18" s="11"/>
    </row>
    <row r="19" spans="2:11" x14ac:dyDescent="0.35">
      <c r="C19" t="s">
        <v>258</v>
      </c>
      <c r="E19" s="6">
        <f>E18/(E14/100)-1</f>
        <v>0.3991013177932865</v>
      </c>
      <c r="F19" s="11"/>
    </row>
    <row r="20" spans="2:11" x14ac:dyDescent="0.35">
      <c r="C20" t="s">
        <v>259</v>
      </c>
      <c r="E20" s="6">
        <f>E18/(E15/100)-1</f>
        <v>-0.19165965333903423</v>
      </c>
      <c r="F20" s="11"/>
    </row>
    <row r="21" spans="2:11" x14ac:dyDescent="0.35">
      <c r="C21" t="s">
        <v>260</v>
      </c>
      <c r="E21" s="6">
        <f>E18/(E16/100)-1</f>
        <v>0.76471009836889836</v>
      </c>
      <c r="F21" s="11"/>
    </row>
    <row r="22" spans="2:11" x14ac:dyDescent="0.35">
      <c r="C22" t="str" cm="1">
        <f t="array" ref="C22:C24">TRANSPOSE(G30:I30)</f>
        <v>Base</v>
      </c>
      <c r="D22">
        <v>1</v>
      </c>
      <c r="E22" s="6"/>
      <c r="F22" s="11"/>
    </row>
    <row r="23" spans="2:11" x14ac:dyDescent="0.35">
      <c r="C23" t="str">
        <v>Upside</v>
      </c>
      <c r="E23" s="6"/>
      <c r="F23" s="11"/>
    </row>
    <row r="24" spans="2:11" x14ac:dyDescent="0.35">
      <c r="C24" t="str">
        <v>Downside</v>
      </c>
      <c r="E24" s="6"/>
      <c r="F24" s="11"/>
    </row>
    <row r="25" spans="2:11" x14ac:dyDescent="0.35">
      <c r="B25" t="s">
        <v>144</v>
      </c>
      <c r="F25" s="11"/>
    </row>
    <row r="26" spans="2:11" x14ac:dyDescent="0.35">
      <c r="C26" t="s">
        <v>145</v>
      </c>
      <c r="E26" s="22">
        <f>SUM(BS!E17:P17)</f>
        <v>0</v>
      </c>
      <c r="F26" s="11"/>
    </row>
    <row r="27" spans="2:11" x14ac:dyDescent="0.35">
      <c r="E27" s="22"/>
      <c r="F27" s="11"/>
    </row>
    <row r="28" spans="2:11" x14ac:dyDescent="0.35">
      <c r="C28" s="7" t="s">
        <v>157</v>
      </c>
      <c r="D28" s="7"/>
      <c r="E28" s="23">
        <f>SUM(E26:E27)</f>
        <v>0</v>
      </c>
      <c r="F28" s="24" t="s">
        <v>158</v>
      </c>
    </row>
    <row r="29" spans="2:11" x14ac:dyDescent="0.35">
      <c r="F29" s="11"/>
    </row>
    <row r="30" spans="2:11" ht="16.2" x14ac:dyDescent="0.5">
      <c r="B30" s="12" t="s">
        <v>8</v>
      </c>
      <c r="G30" s="33" t="s">
        <v>228</v>
      </c>
      <c r="H30" s="33" t="s">
        <v>229</v>
      </c>
      <c r="I30" s="33" t="s">
        <v>230</v>
      </c>
      <c r="K30" t="s">
        <v>231</v>
      </c>
    </row>
    <row r="31" spans="2:11" x14ac:dyDescent="0.35">
      <c r="C31" s="43" t="s">
        <v>266</v>
      </c>
      <c r="D31" s="43"/>
      <c r="E31" s="46">
        <f t="shared" ref="E31:E33" si="1">G31</f>
        <v>4.3999999999999997E-2</v>
      </c>
      <c r="G31" s="9">
        <v>4.3999999999999997E-2</v>
      </c>
      <c r="H31" s="9">
        <v>0.04</v>
      </c>
      <c r="I31" s="9">
        <v>4.9000000000000002E-2</v>
      </c>
    </row>
    <row r="32" spans="2:11" x14ac:dyDescent="0.35">
      <c r="C32" t="s">
        <v>267</v>
      </c>
      <c r="E32" s="2">
        <f t="shared" si="1"/>
        <v>1.188100818820337</v>
      </c>
      <c r="G32" s="2">
        <f>E64</f>
        <v>1.188100818820337</v>
      </c>
      <c r="H32" s="17">
        <v>0.9</v>
      </c>
      <c r="I32" s="17">
        <v>1.1499999999999999</v>
      </c>
    </row>
    <row r="33" spans="3:11" x14ac:dyDescent="0.35">
      <c r="C33" t="s">
        <v>261</v>
      </c>
      <c r="E33" s="6">
        <f t="shared" si="1"/>
        <v>5.8000000000000003E-2</v>
      </c>
      <c r="G33" s="9">
        <v>5.8000000000000003E-2</v>
      </c>
      <c r="H33" s="9">
        <v>5.1999999999999998E-2</v>
      </c>
      <c r="I33" s="9">
        <v>6.2E-2</v>
      </c>
    </row>
    <row r="34" spans="3:11" x14ac:dyDescent="0.35">
      <c r="C34" s="7" t="s">
        <v>12</v>
      </c>
      <c r="D34" s="7"/>
      <c r="E34" s="8">
        <f>E31+E32*E33</f>
        <v>0.11290984749157955</v>
      </c>
    </row>
    <row r="35" spans="3:11" x14ac:dyDescent="0.35">
      <c r="C35" t="s">
        <v>13</v>
      </c>
      <c r="E35" s="6">
        <f t="shared" ref="E35:E36" si="2">G35</f>
        <v>5.8000000000000003E-2</v>
      </c>
      <c r="G35" s="9">
        <v>5.8000000000000003E-2</v>
      </c>
      <c r="H35" s="9">
        <v>5.5E-2</v>
      </c>
      <c r="I35" s="9">
        <v>6.2E-2</v>
      </c>
    </row>
    <row r="36" spans="3:11" x14ac:dyDescent="0.35">
      <c r="C36" t="s">
        <v>14</v>
      </c>
      <c r="E36" s="6">
        <f t="shared" si="2"/>
        <v>0.21</v>
      </c>
      <c r="F36" s="18" t="s">
        <v>45</v>
      </c>
      <c r="G36" s="9">
        <v>0.21</v>
      </c>
      <c r="H36" s="9">
        <v>0.2</v>
      </c>
      <c r="I36" s="9">
        <v>0.22</v>
      </c>
    </row>
    <row r="37" spans="3:11" x14ac:dyDescent="0.35">
      <c r="C37" s="47" t="s">
        <v>15</v>
      </c>
      <c r="D37" s="47"/>
      <c r="E37" s="48">
        <f>E35*(1+E36)</f>
        <v>7.0180000000000006E-2</v>
      </c>
    </row>
    <row r="38" spans="3:11" x14ac:dyDescent="0.35">
      <c r="C38" t="s">
        <v>16</v>
      </c>
      <c r="E38" s="6">
        <f>G38</f>
        <v>0.16</v>
      </c>
      <c r="G38" s="9">
        <v>0.16</v>
      </c>
      <c r="H38" s="9">
        <v>0.2</v>
      </c>
      <c r="I38" s="9">
        <v>0.14000000000000001</v>
      </c>
    </row>
    <row r="39" spans="3:11" x14ac:dyDescent="0.35">
      <c r="C39" t="s">
        <v>17</v>
      </c>
      <c r="E39" s="10">
        <f>1-E38</f>
        <v>0.84</v>
      </c>
    </row>
    <row r="40" spans="3:11" x14ac:dyDescent="0.35">
      <c r="C40" s="7" t="s">
        <v>18</v>
      </c>
      <c r="D40" s="7"/>
      <c r="E40" s="8">
        <f>E38*E37+E39*E34</f>
        <v>0.10607307189292682</v>
      </c>
      <c r="F40" s="11" t="s">
        <v>18</v>
      </c>
    </row>
    <row r="41" spans="3:11" x14ac:dyDescent="0.35">
      <c r="E41" s="10"/>
      <c r="F41" s="11"/>
    </row>
    <row r="42" spans="3:11" x14ac:dyDescent="0.35">
      <c r="C42" s="12" t="s">
        <v>232</v>
      </c>
      <c r="E42" s="10"/>
      <c r="F42" s="11"/>
    </row>
    <row r="43" spans="3:11" x14ac:dyDescent="0.35">
      <c r="E43" s="28"/>
      <c r="F43" s="28"/>
      <c r="G43" s="28"/>
      <c r="H43" s="28" t="s">
        <v>236</v>
      </c>
      <c r="I43" s="28" t="s">
        <v>238</v>
      </c>
      <c r="J43" s="28" t="s">
        <v>240</v>
      </c>
      <c r="K43" s="28" t="s">
        <v>242</v>
      </c>
    </row>
    <row r="44" spans="3:11" ht="16.2" x14ac:dyDescent="0.5">
      <c r="C44" s="39" t="s">
        <v>233</v>
      </c>
      <c r="E44" s="38" t="s">
        <v>159</v>
      </c>
      <c r="F44" s="33" t="s">
        <v>234</v>
      </c>
      <c r="G44" s="33" t="s">
        <v>235</v>
      </c>
      <c r="H44" s="33" t="s">
        <v>237</v>
      </c>
      <c r="I44" s="33" t="s">
        <v>239</v>
      </c>
      <c r="J44" s="33" t="s">
        <v>241</v>
      </c>
      <c r="K44" s="33" t="s">
        <v>243</v>
      </c>
    </row>
    <row r="45" spans="3:11" x14ac:dyDescent="0.35">
      <c r="C45" s="16" t="s">
        <v>244</v>
      </c>
      <c r="E45" s="9"/>
      <c r="F45" s="9">
        <v>30.9774573979061</v>
      </c>
      <c r="G45" s="9">
        <v>7</v>
      </c>
      <c r="H45" s="6">
        <f>G45/SUM(F45:G45)</f>
        <v>0.18431986972318867</v>
      </c>
      <c r="I45" s="17">
        <v>1.28</v>
      </c>
      <c r="J45" s="9">
        <v>0.21</v>
      </c>
      <c r="K45" s="2">
        <f>I45/(1+H45*(1-J45))</f>
        <v>1.1173060522644869</v>
      </c>
    </row>
    <row r="46" spans="3:11" x14ac:dyDescent="0.35">
      <c r="C46" s="16" t="s">
        <v>245</v>
      </c>
      <c r="E46" s="9"/>
      <c r="F46" s="9">
        <v>16.249386734627901</v>
      </c>
      <c r="G46" s="9">
        <v>3</v>
      </c>
      <c r="H46" s="6">
        <f t="shared" ref="H46:H50" si="3">G46/SUM(F46:G46)</f>
        <v>0.15584912087631717</v>
      </c>
      <c r="I46" s="17">
        <v>1.1000000000000001</v>
      </c>
      <c r="J46" s="9">
        <v>0.21</v>
      </c>
      <c r="K46" s="2">
        <f t="shared" ref="K46:K50" si="4">I46/(1+H46*(1-J46))</f>
        <v>0.97941378578401805</v>
      </c>
    </row>
    <row r="47" spans="3:11" x14ac:dyDescent="0.35">
      <c r="C47" s="16" t="s">
        <v>246</v>
      </c>
      <c r="E47" s="9"/>
      <c r="F47" s="9">
        <v>17.222110899301001</v>
      </c>
      <c r="G47" s="9">
        <v>1.1781999999999999</v>
      </c>
      <c r="H47" s="6">
        <f t="shared" si="3"/>
        <v>6.4031526774080638E-2</v>
      </c>
      <c r="I47" s="17">
        <v>1.2310988</v>
      </c>
      <c r="J47" s="9">
        <v>0.21</v>
      </c>
      <c r="K47" s="2">
        <f t="shared" si="4"/>
        <v>1.1718222799428275</v>
      </c>
    </row>
    <row r="48" spans="3:11" x14ac:dyDescent="0.35">
      <c r="C48" s="16" t="s">
        <v>247</v>
      </c>
      <c r="E48" s="9"/>
      <c r="F48" s="9">
        <v>399.22922531158798</v>
      </c>
      <c r="G48" s="9">
        <v>60.878999999999998</v>
      </c>
      <c r="H48" s="6">
        <f t="shared" si="3"/>
        <v>0.1323145222165337</v>
      </c>
      <c r="I48" s="17">
        <v>0.8</v>
      </c>
      <c r="J48" s="9">
        <v>0.21</v>
      </c>
      <c r="K48" s="2">
        <f t="shared" si="4"/>
        <v>0.72429097110759777</v>
      </c>
    </row>
    <row r="49" spans="2:11" x14ac:dyDescent="0.35">
      <c r="C49" s="16" t="s">
        <v>248</v>
      </c>
      <c r="E49" s="9"/>
      <c r="F49" s="9">
        <v>66.033778198242203</v>
      </c>
      <c r="G49" s="9">
        <v>4</v>
      </c>
      <c r="H49" s="6">
        <f t="shared" si="3"/>
        <v>5.711529640279206E-2</v>
      </c>
      <c r="I49" s="17">
        <v>1.087934</v>
      </c>
      <c r="J49" s="9">
        <v>0.21</v>
      </c>
      <c r="K49" s="2">
        <f t="shared" si="4"/>
        <v>1.0409645508934287</v>
      </c>
    </row>
    <row r="50" spans="2:11" x14ac:dyDescent="0.35">
      <c r="C50" s="16" t="s">
        <v>249</v>
      </c>
      <c r="E50" s="9"/>
      <c r="F50" s="9">
        <v>157.82529476649501</v>
      </c>
      <c r="G50" s="9">
        <v>4.5</v>
      </c>
      <c r="H50" s="6">
        <f t="shared" si="3"/>
        <v>2.772211198798839E-2</v>
      </c>
      <c r="I50" s="17">
        <v>1.2129599</v>
      </c>
      <c r="J50" s="9">
        <v>0.21</v>
      </c>
      <c r="K50" s="2">
        <f t="shared" si="4"/>
        <v>1.1869648145043419</v>
      </c>
    </row>
    <row r="51" spans="2:11" x14ac:dyDescent="0.35">
      <c r="E51" s="10"/>
    </row>
    <row r="52" spans="2:11" x14ac:dyDescent="0.35">
      <c r="C52" t="s">
        <v>252</v>
      </c>
      <c r="E52" s="10"/>
      <c r="F52">
        <f t="shared" ref="F52:K52" si="5">MAX(F45:F50)</f>
        <v>399.22922531158798</v>
      </c>
      <c r="G52">
        <f t="shared" si="5"/>
        <v>60.878999999999998</v>
      </c>
      <c r="H52" s="6">
        <f t="shared" si="5"/>
        <v>0.18431986972318867</v>
      </c>
      <c r="I52" s="2">
        <f t="shared" si="5"/>
        <v>1.28</v>
      </c>
      <c r="J52" s="6">
        <f t="shared" si="5"/>
        <v>0.21</v>
      </c>
      <c r="K52" s="2">
        <f t="shared" si="5"/>
        <v>1.1869648145043419</v>
      </c>
    </row>
    <row r="53" spans="2:11" x14ac:dyDescent="0.35">
      <c r="C53" t="s">
        <v>250</v>
      </c>
      <c r="E53" s="10"/>
      <c r="F53">
        <f>AVERAGE(F45:F50)</f>
        <v>114.58954221802669</v>
      </c>
      <c r="G53">
        <f t="shared" ref="G53:K53" si="6">AVERAGE(G45:G50)</f>
        <v>13.4262</v>
      </c>
      <c r="H53" s="6">
        <f t="shared" si="6"/>
        <v>0.1035587413301501</v>
      </c>
      <c r="I53" s="2">
        <f t="shared" si="6"/>
        <v>1.11866545</v>
      </c>
      <c r="J53" s="6">
        <f t="shared" si="6"/>
        <v>0.21</v>
      </c>
      <c r="K53" s="2">
        <f t="shared" si="6"/>
        <v>1.0367937424161167</v>
      </c>
    </row>
    <row r="54" spans="2:11" x14ac:dyDescent="0.35">
      <c r="C54" t="s">
        <v>251</v>
      </c>
      <c r="E54" s="10"/>
      <c r="F54">
        <f>MEDIAN(F45:F50)</f>
        <v>48.505617798074155</v>
      </c>
      <c r="G54">
        <f t="shared" ref="G54:K54" si="7">MEDIAN(G45:G50)</f>
        <v>4.25</v>
      </c>
      <c r="H54" s="6">
        <f t="shared" si="7"/>
        <v>9.8173024495307168E-2</v>
      </c>
      <c r="I54" s="2">
        <f t="shared" si="7"/>
        <v>1.15647995</v>
      </c>
      <c r="J54" s="6">
        <f t="shared" si="7"/>
        <v>0.21</v>
      </c>
      <c r="K54" s="2">
        <f t="shared" si="7"/>
        <v>1.0791353015789578</v>
      </c>
    </row>
    <row r="55" spans="2:11" x14ac:dyDescent="0.35">
      <c r="C55" t="s">
        <v>253</v>
      </c>
      <c r="E55" s="10"/>
      <c r="F55">
        <f t="shared" ref="F55:K55" si="8">MIN(F45:F50)</f>
        <v>16.249386734627901</v>
      </c>
      <c r="G55">
        <f t="shared" si="8"/>
        <v>1.1781999999999999</v>
      </c>
      <c r="H55" s="6">
        <f t="shared" si="8"/>
        <v>2.772211198798839E-2</v>
      </c>
      <c r="I55" s="2">
        <f t="shared" si="8"/>
        <v>0.8</v>
      </c>
      <c r="J55" s="6">
        <f t="shared" si="8"/>
        <v>0.21</v>
      </c>
      <c r="K55" s="2">
        <f t="shared" si="8"/>
        <v>0.72429097110759777</v>
      </c>
    </row>
    <row r="56" spans="2:11" x14ac:dyDescent="0.35">
      <c r="B56" s="12" t="s">
        <v>254</v>
      </c>
      <c r="E56" s="10"/>
      <c r="F56" s="11"/>
    </row>
    <row r="57" spans="2:11" x14ac:dyDescent="0.35">
      <c r="C57">
        <v>3</v>
      </c>
      <c r="E57" s="10"/>
      <c r="F57" s="11"/>
    </row>
    <row r="58" spans="2:11" x14ac:dyDescent="0.35">
      <c r="E58" s="10"/>
      <c r="F58" s="11"/>
    </row>
    <row r="59" spans="2:11" x14ac:dyDescent="0.35">
      <c r="E59" s="10"/>
      <c r="F59" s="11"/>
    </row>
    <row r="60" spans="2:11" x14ac:dyDescent="0.35">
      <c r="C60" t="s">
        <v>255</v>
      </c>
      <c r="E60" s="2" cm="1">
        <f t="array" ref="E60">INDEX(K52:K55,C57)</f>
        <v>1.0791353015789578</v>
      </c>
      <c r="F60" s="11"/>
    </row>
    <row r="61" spans="2:11" x14ac:dyDescent="0.35">
      <c r="C61" t="str">
        <f>C36</f>
        <v>Marginal tax rate</v>
      </c>
      <c r="E61" s="10">
        <f>TaxRate</f>
        <v>0.21</v>
      </c>
      <c r="F61" s="11"/>
    </row>
    <row r="62" spans="2:11" x14ac:dyDescent="0.35">
      <c r="C62" t="str">
        <f>C38</f>
        <v>Target D/D+E at MV</v>
      </c>
      <c r="E62" s="10">
        <f>E38</f>
        <v>0.16</v>
      </c>
      <c r="F62" s="11"/>
    </row>
    <row r="63" spans="2:11" x14ac:dyDescent="0.35">
      <c r="C63" t="s">
        <v>257</v>
      </c>
      <c r="E63" s="10">
        <f>E62/(1+E62)</f>
        <v>0.13793103448275865</v>
      </c>
      <c r="F63" s="11"/>
    </row>
    <row r="64" spans="2:11" x14ac:dyDescent="0.35">
      <c r="C64" t="s">
        <v>256</v>
      </c>
      <c r="E64" s="2">
        <f>E60*1+(1-E61)*E63</f>
        <v>1.188100818820337</v>
      </c>
      <c r="F64" s="11"/>
    </row>
    <row r="65" spans="1:17" x14ac:dyDescent="0.35">
      <c r="B65" s="12" t="s">
        <v>9</v>
      </c>
    </row>
    <row r="66" spans="1:17" x14ac:dyDescent="0.35">
      <c r="C66" t="s">
        <v>10</v>
      </c>
      <c r="E66" s="9">
        <v>0.10199999999999999</v>
      </c>
    </row>
    <row r="67" spans="1:17" x14ac:dyDescent="0.35">
      <c r="C67" t="s">
        <v>11</v>
      </c>
      <c r="E67" s="9">
        <v>4.3999999999999997E-2</v>
      </c>
      <c r="F67" s="18" t="s">
        <v>265</v>
      </c>
    </row>
    <row r="68" spans="1:17" x14ac:dyDescent="0.35">
      <c r="C68" t="s">
        <v>23</v>
      </c>
      <c r="E68" s="6">
        <f>E67/E66</f>
        <v>0.43137254901960786</v>
      </c>
    </row>
    <row r="69" spans="1:17" x14ac:dyDescent="0.35">
      <c r="C69" t="s">
        <v>24</v>
      </c>
      <c r="E69" s="6">
        <f>1-E68</f>
        <v>0.56862745098039214</v>
      </c>
    </row>
    <row r="70" spans="1:17" x14ac:dyDescent="0.35">
      <c r="C70" t="str">
        <f>C40</f>
        <v>WACC</v>
      </c>
      <c r="E70" s="6">
        <f>WACC</f>
        <v>0.10607307189292682</v>
      </c>
    </row>
    <row r="71" spans="1:17" x14ac:dyDescent="0.35">
      <c r="C71" t="s">
        <v>25</v>
      </c>
      <c r="E71" s="6">
        <f>E66-E70</f>
        <v>-4.0730718929268273E-3</v>
      </c>
    </row>
    <row r="72" spans="1:17" x14ac:dyDescent="0.35">
      <c r="C72" t="s">
        <v>27</v>
      </c>
      <c r="E72">
        <f>DCF!$P$11</f>
        <v>364.43176753763737</v>
      </c>
    </row>
    <row r="73" spans="1:17" x14ac:dyDescent="0.35">
      <c r="C73" s="7" t="s">
        <v>26</v>
      </c>
      <c r="D73" s="7"/>
      <c r="E73" s="7">
        <f>E72*(1+E67)*E69/(WACC-E67)</f>
        <v>3485.3091742223055</v>
      </c>
    </row>
    <row r="75" spans="1:17" x14ac:dyDescent="0.35">
      <c r="A75" s="15" t="s">
        <v>140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35">
      <c r="E76">
        <f>IS!E2</f>
        <v>-1</v>
      </c>
      <c r="F76">
        <f>IS!F2</f>
        <v>0</v>
      </c>
      <c r="G76">
        <f>IS!G2</f>
        <v>1</v>
      </c>
      <c r="H76">
        <f>IS!H2</f>
        <v>2</v>
      </c>
      <c r="I76">
        <f>IS!I2</f>
        <v>3</v>
      </c>
      <c r="J76">
        <f>IS!J2</f>
        <v>4</v>
      </c>
      <c r="K76">
        <f>IS!K2</f>
        <v>5</v>
      </c>
      <c r="L76">
        <f>IS!L2</f>
        <v>6</v>
      </c>
      <c r="M76">
        <f>IS!M2</f>
        <v>7</v>
      </c>
      <c r="N76">
        <f>IS!N2</f>
        <v>8</v>
      </c>
      <c r="O76">
        <f>IS!O2</f>
        <v>9</v>
      </c>
      <c r="P76">
        <f>IS!P2</f>
        <v>10</v>
      </c>
    </row>
    <row r="77" spans="1:17" ht="16.2" x14ac:dyDescent="0.5">
      <c r="E77" s="14">
        <f>IS!E3</f>
        <v>44926</v>
      </c>
      <c r="F77" s="14">
        <f>IS!F3</f>
        <v>45291</v>
      </c>
      <c r="G77" s="14">
        <f>IS!G3</f>
        <v>45657</v>
      </c>
      <c r="H77" s="14">
        <f>IS!H3</f>
        <v>46022</v>
      </c>
      <c r="I77" s="14">
        <f>IS!I3</f>
        <v>46387</v>
      </c>
      <c r="J77" s="14">
        <f>IS!J3</f>
        <v>46752</v>
      </c>
      <c r="K77" s="14">
        <f>IS!K3</f>
        <v>47118</v>
      </c>
      <c r="L77" s="14">
        <f>IS!L3</f>
        <v>47483</v>
      </c>
      <c r="M77" s="14">
        <f>IS!M3</f>
        <v>47848</v>
      </c>
      <c r="N77" s="14">
        <f>IS!N3</f>
        <v>48213</v>
      </c>
      <c r="O77" s="14">
        <f>IS!O3</f>
        <v>48579</v>
      </c>
      <c r="P77" s="14">
        <f>IS!P3</f>
        <v>48944</v>
      </c>
    </row>
    <row r="78" spans="1:17" ht="16.2" x14ac:dyDescent="0.5">
      <c r="B78" s="12" t="s">
        <v>155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7" x14ac:dyDescent="0.35">
      <c r="C79" t="str">
        <f>IS!C4</f>
        <v>Revenue</v>
      </c>
      <c r="E79">
        <f>IS!E4</f>
        <v>1238</v>
      </c>
      <c r="F79">
        <f>IS!F4</f>
        <v>1542.8</v>
      </c>
      <c r="G79">
        <f t="shared" ref="G79:P79" si="9">F79*(1+G109)</f>
        <v>1820.5039999999999</v>
      </c>
      <c r="H79">
        <f t="shared" si="9"/>
        <v>2148.19472</v>
      </c>
      <c r="I79">
        <f t="shared" si="9"/>
        <v>2491.9058751999996</v>
      </c>
      <c r="J79">
        <f t="shared" si="9"/>
        <v>2865.6917564799992</v>
      </c>
      <c r="K79">
        <f t="shared" si="9"/>
        <v>3209.5747672575994</v>
      </c>
      <c r="L79">
        <f t="shared" si="9"/>
        <v>3530.5322439833599</v>
      </c>
      <c r="M79">
        <f t="shared" si="9"/>
        <v>3812.9748235020288</v>
      </c>
      <c r="N79">
        <f t="shared" si="9"/>
        <v>4041.7533129121507</v>
      </c>
      <c r="O79">
        <f t="shared" si="9"/>
        <v>4163.0059122995153</v>
      </c>
      <c r="P79">
        <f t="shared" si="9"/>
        <v>4287.8960896685012</v>
      </c>
    </row>
    <row r="80" spans="1:17" x14ac:dyDescent="0.35">
      <c r="C80" t="str">
        <f>IS!C5</f>
        <v>Cost of sales</v>
      </c>
      <c r="E80">
        <f>IS!E5</f>
        <v>-1056.7</v>
      </c>
      <c r="F80">
        <f>IS!F5</f>
        <v>-1324.1</v>
      </c>
      <c r="G80">
        <f t="shared" ref="G80:P80" si="10">G79*-G110</f>
        <v>-1565.6334399999998</v>
      </c>
      <c r="H80">
        <f t="shared" si="10"/>
        <v>-1851.7438486399999</v>
      </c>
      <c r="I80">
        <f t="shared" si="10"/>
        <v>-2153.0066761727999</v>
      </c>
      <c r="J80">
        <f t="shared" si="10"/>
        <v>-2475.9576775987193</v>
      </c>
      <c r="K80">
        <f t="shared" si="10"/>
        <v>-2773.0725989105658</v>
      </c>
      <c r="L80">
        <f t="shared" si="10"/>
        <v>-3050.379858801623</v>
      </c>
      <c r="M80">
        <f t="shared" si="10"/>
        <v>-3294.410247505753</v>
      </c>
      <c r="N80">
        <f t="shared" si="10"/>
        <v>-3492.074862356098</v>
      </c>
      <c r="O80">
        <f t="shared" si="10"/>
        <v>-3596.8371082267813</v>
      </c>
      <c r="P80">
        <f t="shared" si="10"/>
        <v>-3704.7422214735848</v>
      </c>
    </row>
    <row r="81" spans="2:16" x14ac:dyDescent="0.35">
      <c r="C81" t="str">
        <f>IS!C7</f>
        <v>Administrative expenses</v>
      </c>
      <c r="E81">
        <f>IS!E7</f>
        <v>-37.6</v>
      </c>
      <c r="F81">
        <f>IS!F7</f>
        <v>-39.9</v>
      </c>
      <c r="G81">
        <f t="shared" ref="G81:P81" si="11">G80*G111</f>
        <v>-40.490519999999997</v>
      </c>
      <c r="H81">
        <f t="shared" si="11"/>
        <v>-47.889927119999996</v>
      </c>
      <c r="I81">
        <f t="shared" si="11"/>
        <v>-55.681207142399998</v>
      </c>
      <c r="J81">
        <f t="shared" si="11"/>
        <v>-64.033388213759977</v>
      </c>
      <c r="K81">
        <f t="shared" si="11"/>
        <v>-71.717394799411181</v>
      </c>
      <c r="L81">
        <f t="shared" si="11"/>
        <v>-78.889134279352319</v>
      </c>
      <c r="M81">
        <f t="shared" si="11"/>
        <v>-85.200265021700503</v>
      </c>
      <c r="N81">
        <f t="shared" si="11"/>
        <v>-90.312280923002533</v>
      </c>
      <c r="O81">
        <f t="shared" si="11"/>
        <v>-93.021649350692613</v>
      </c>
      <c r="P81">
        <f t="shared" si="11"/>
        <v>-95.812298831213397</v>
      </c>
    </row>
    <row r="82" spans="2:16" x14ac:dyDescent="0.35">
      <c r="C82" t="str">
        <f>CFS!C5</f>
        <v>Depreciation</v>
      </c>
      <c r="D82">
        <f>CFS!D5</f>
        <v>0</v>
      </c>
      <c r="E82">
        <f>CFS!E5</f>
        <v>68.2</v>
      </c>
      <c r="F82">
        <f>CFS!F5</f>
        <v>82.6</v>
      </c>
      <c r="G82">
        <f t="shared" ref="G82:P82" si="12">-G95/G119</f>
        <v>88.5</v>
      </c>
      <c r="H82">
        <f t="shared" si="12"/>
        <v>104.43</v>
      </c>
      <c r="I82">
        <f t="shared" si="12"/>
        <v>121.13879999999999</v>
      </c>
      <c r="J82">
        <f t="shared" si="12"/>
        <v>139.30961999999997</v>
      </c>
      <c r="K82">
        <f t="shared" si="12"/>
        <v>156.02677439999997</v>
      </c>
      <c r="L82">
        <f t="shared" si="12"/>
        <v>171.62945184</v>
      </c>
      <c r="M82">
        <f t="shared" si="12"/>
        <v>185.35980798720001</v>
      </c>
      <c r="N82">
        <f t="shared" si="12"/>
        <v>196.48139646643202</v>
      </c>
      <c r="O82">
        <f t="shared" si="12"/>
        <v>202.37583836042498</v>
      </c>
      <c r="P82">
        <f t="shared" si="12"/>
        <v>208.44711351123775</v>
      </c>
    </row>
    <row r="83" spans="2:16" x14ac:dyDescent="0.35">
      <c r="C83" t="str">
        <f>IS!C9</f>
        <v>Finance costs</v>
      </c>
      <c r="D83">
        <f>IS!D9</f>
        <v>0</v>
      </c>
      <c r="E83">
        <f>IS!E9</f>
        <v>-16</v>
      </c>
      <c r="F83">
        <f>IS!F9</f>
        <v>-24</v>
      </c>
      <c r="G83">
        <f t="shared" ref="G83:P83" si="13">-G96*G112</f>
        <v>-34.982644620000009</v>
      </c>
      <c r="H83">
        <f t="shared" si="13"/>
        <v>-43.735577991336008</v>
      </c>
      <c r="I83">
        <f t="shared" si="13"/>
        <v>-52.647254303400928</v>
      </c>
      <c r="J83">
        <f t="shared" si="13"/>
        <v>-56.63825583930393</v>
      </c>
      <c r="K83">
        <f t="shared" si="13"/>
        <v>-60.153733787950387</v>
      </c>
      <c r="L83">
        <f t="shared" si="13"/>
        <v>-62.559883139468397</v>
      </c>
      <c r="M83">
        <f t="shared" si="13"/>
        <v>-67.564673790625861</v>
      </c>
      <c r="N83">
        <f t="shared" si="13"/>
        <v>-71.618554218063451</v>
      </c>
      <c r="O83">
        <f t="shared" si="13"/>
        <v>-73.767110844605341</v>
      </c>
      <c r="P83">
        <f t="shared" si="13"/>
        <v>-75.980124169943522</v>
      </c>
    </row>
    <row r="84" spans="2:16" x14ac:dyDescent="0.35">
      <c r="C84" t="str">
        <f>IS!C12</f>
        <v>Taxation</v>
      </c>
      <c r="D84">
        <f>IS!D12</f>
        <v>0</v>
      </c>
      <c r="E84">
        <f>IS!E12</f>
        <v>-25.535999999999998</v>
      </c>
      <c r="F84">
        <f>IS!F12</f>
        <v>-33.189</v>
      </c>
      <c r="G84">
        <f>-IS!G11*Control!G113</f>
        <v>-46.643322798800021</v>
      </c>
      <c r="H84">
        <f>-IS!H11*Control!H113</f>
        <v>-53.254595224652661</v>
      </c>
      <c r="I84">
        <f>-IS!I11*Control!I113</f>
        <v>-59.948391771163692</v>
      </c>
      <c r="J84">
        <f>-IS!J11*Control!J113</f>
        <v>-69.956233055336142</v>
      </c>
      <c r="K84">
        <f>-IS!K11*Control!K113</f>
        <v>-79.204070337514736</v>
      </c>
      <c r="L84">
        <f>-IS!L11*Control!L113</f>
        <v>-88.062875618358206</v>
      </c>
      <c r="M84">
        <f>-IS!M11*Control!M113</f>
        <v>-95.10790566782687</v>
      </c>
      <c r="N84">
        <f>-IS!N11*Control!N113</f>
        <v>-100.81438000789656</v>
      </c>
      <c r="O84">
        <f>-IS!O11*Control!O113</f>
        <v>-103.83881140813338</v>
      </c>
      <c r="P84">
        <f>-IS!P11*Control!P113</f>
        <v>-106.95397575037747</v>
      </c>
    </row>
    <row r="85" spans="2:16" x14ac:dyDescent="0.35">
      <c r="C85" t="s">
        <v>169</v>
      </c>
      <c r="E85">
        <f>IS!E8</f>
        <v>143.69999999999996</v>
      </c>
      <c r="F85">
        <f>IS!F8</f>
        <v>178.80000000000004</v>
      </c>
      <c r="G85">
        <f>IS!G8</f>
        <v>214.38004000000006</v>
      </c>
      <c r="H85">
        <f>IS!H8</f>
        <v>248.56094424000008</v>
      </c>
      <c r="I85">
        <f>IS!I8</f>
        <v>283.21799188479974</v>
      </c>
      <c r="J85">
        <f>IS!J8</f>
        <v>325.70069066751989</v>
      </c>
      <c r="K85">
        <f>IS!K8</f>
        <v>364.78477354762242</v>
      </c>
      <c r="L85">
        <f>IS!L8</f>
        <v>401.26325090238458</v>
      </c>
      <c r="M85">
        <f>IS!M8</f>
        <v>433.36431097457535</v>
      </c>
      <c r="N85">
        <f>IS!N8</f>
        <v>459.36616963305016</v>
      </c>
      <c r="O85">
        <f>IS!O8</f>
        <v>473.14715472204142</v>
      </c>
      <c r="P85">
        <f>IS!P8</f>
        <v>487.341569363703</v>
      </c>
    </row>
    <row r="86" spans="2:16" x14ac:dyDescent="0.35">
      <c r="C86" t="s">
        <v>170</v>
      </c>
      <c r="E86">
        <f>SUM(CFS!E5:E6)</f>
        <v>70.7</v>
      </c>
      <c r="F86">
        <f>SUM(CFS!F5:F6)</f>
        <v>85.8</v>
      </c>
      <c r="G86">
        <f>SUM(CFS!G5:G6)</f>
        <v>88.5</v>
      </c>
      <c r="H86">
        <f>SUM(CFS!H5:H6)</f>
        <v>104.43</v>
      </c>
      <c r="I86">
        <f>SUM(CFS!I5:I6)</f>
        <v>121.13879999999999</v>
      </c>
      <c r="J86">
        <f>SUM(CFS!J5:J6)</f>
        <v>139.30961999999997</v>
      </c>
      <c r="K86">
        <f>SUM(CFS!K5:K6)</f>
        <v>156.02677439999997</v>
      </c>
      <c r="L86">
        <f>SUM(CFS!L5:L6)</f>
        <v>171.62945184</v>
      </c>
      <c r="M86">
        <f>SUM(CFS!M5:M6)</f>
        <v>185.35980798720001</v>
      </c>
      <c r="N86">
        <f>SUM(CFS!N5:N6)</f>
        <v>196.48139646643202</v>
      </c>
      <c r="O86">
        <f>SUM(CFS!O5:O6)</f>
        <v>202.37583836042498</v>
      </c>
      <c r="P86">
        <f>SUM(CFS!P5:P6)</f>
        <v>208.44711351123775</v>
      </c>
    </row>
    <row r="87" spans="2:16" x14ac:dyDescent="0.35">
      <c r="C87" s="7" t="s">
        <v>168</v>
      </c>
      <c r="D87" s="7"/>
      <c r="E87" s="7">
        <f>SUM(E85:E86)</f>
        <v>214.39999999999998</v>
      </c>
      <c r="F87" s="7">
        <f t="shared" ref="F87:P87" si="14">SUM(F85:F86)</f>
        <v>264.60000000000002</v>
      </c>
      <c r="G87" s="7">
        <f t="shared" si="14"/>
        <v>302.88004000000006</v>
      </c>
      <c r="H87" s="7">
        <f t="shared" si="14"/>
        <v>352.99094424000009</v>
      </c>
      <c r="I87" s="7">
        <f t="shared" si="14"/>
        <v>404.35679188479975</v>
      </c>
      <c r="J87" s="7">
        <f t="shared" si="14"/>
        <v>465.01031066751989</v>
      </c>
      <c r="K87" s="7">
        <f t="shared" si="14"/>
        <v>520.81154794762233</v>
      </c>
      <c r="L87" s="7">
        <f t="shared" si="14"/>
        <v>572.89270274238459</v>
      </c>
      <c r="M87" s="7">
        <f t="shared" si="14"/>
        <v>618.72411896177539</v>
      </c>
      <c r="N87" s="7">
        <f t="shared" si="14"/>
        <v>655.84756609948215</v>
      </c>
      <c r="O87" s="7">
        <f t="shared" si="14"/>
        <v>675.52299308246643</v>
      </c>
      <c r="P87" s="7">
        <f t="shared" si="14"/>
        <v>695.78868287494072</v>
      </c>
    </row>
    <row r="88" spans="2:16" x14ac:dyDescent="0.35">
      <c r="B88" s="12" t="s">
        <v>156</v>
      </c>
    </row>
    <row r="89" spans="2:16" x14ac:dyDescent="0.35">
      <c r="C89" t="str">
        <f>BS!C6</f>
        <v>Inventories</v>
      </c>
      <c r="E89">
        <f>BS!E6</f>
        <v>302.60000000000002</v>
      </c>
      <c r="F89">
        <f>BS!F6</f>
        <v>356</v>
      </c>
      <c r="G89">
        <f t="shared" ref="G89:P89" si="15">-G80/365*G115</f>
        <v>420.93913196888451</v>
      </c>
      <c r="H89">
        <f t="shared" si="15"/>
        <v>497.86331101566344</v>
      </c>
      <c r="I89">
        <f t="shared" si="15"/>
        <v>578.86139771733008</v>
      </c>
      <c r="J89">
        <f t="shared" si="15"/>
        <v>678.34456920512855</v>
      </c>
      <c r="K89">
        <f t="shared" si="15"/>
        <v>774.94083585993894</v>
      </c>
      <c r="L89">
        <f t="shared" si="15"/>
        <v>885.86373981636177</v>
      </c>
      <c r="M89">
        <f t="shared" si="15"/>
        <v>974.78440200170235</v>
      </c>
      <c r="N89">
        <f t="shared" si="15"/>
        <v>1052.4061229018378</v>
      </c>
      <c r="O89">
        <f t="shared" si="15"/>
        <v>1103.6870030723276</v>
      </c>
      <c r="P89">
        <f t="shared" si="15"/>
        <v>1136.7976131644971</v>
      </c>
    </row>
    <row r="90" spans="2:16" x14ac:dyDescent="0.35">
      <c r="C90" t="str">
        <f>BS!C7</f>
        <v>Trade and other receivables</v>
      </c>
      <c r="E90">
        <f>BS!E7</f>
        <v>19.600000000000001</v>
      </c>
      <c r="F90">
        <f>BS!F7</f>
        <v>17.7</v>
      </c>
      <c r="G90">
        <f t="shared" ref="G90:P90" si="16">G79/365*G116</f>
        <v>20.885999999999999</v>
      </c>
      <c r="H90">
        <f t="shared" si="16"/>
        <v>24.645480000000003</v>
      </c>
      <c r="I90">
        <f t="shared" si="16"/>
        <v>28.588756799999999</v>
      </c>
      <c r="J90">
        <f t="shared" si="16"/>
        <v>32.877070319999994</v>
      </c>
      <c r="K90">
        <f t="shared" si="16"/>
        <v>36.822318758399994</v>
      </c>
      <c r="L90">
        <f t="shared" si="16"/>
        <v>40.504550634239997</v>
      </c>
      <c r="M90">
        <f t="shared" si="16"/>
        <v>43.7449146849792</v>
      </c>
      <c r="N90">
        <f t="shared" si="16"/>
        <v>46.369609566077955</v>
      </c>
      <c r="O90">
        <f t="shared" si="16"/>
        <v>47.7606978530603</v>
      </c>
      <c r="P90">
        <f t="shared" si="16"/>
        <v>49.193518788652113</v>
      </c>
    </row>
    <row r="91" spans="2:16" x14ac:dyDescent="0.35">
      <c r="C91" t="str">
        <f>BS!C11</f>
        <v>Trade and other payables</v>
      </c>
      <c r="E91">
        <f>BS!E11</f>
        <v>201.4</v>
      </c>
      <c r="F91">
        <f>BS!F11</f>
        <v>219.6</v>
      </c>
      <c r="G91">
        <f t="shared" ref="G91:P91" si="17">-G80/365*G117</f>
        <v>259.65795893361525</v>
      </c>
      <c r="H91">
        <f t="shared" si="17"/>
        <v>307.10894128943733</v>
      </c>
      <c r="I91">
        <f t="shared" si="17"/>
        <v>357.07292960316198</v>
      </c>
      <c r="J91">
        <f t="shared" si="17"/>
        <v>410.63386904363625</v>
      </c>
      <c r="K91">
        <f t="shared" si="17"/>
        <v>459.90993332887257</v>
      </c>
      <c r="L91">
        <f t="shared" si="17"/>
        <v>505.90092666175997</v>
      </c>
      <c r="M91">
        <f t="shared" si="17"/>
        <v>546.37300079470083</v>
      </c>
      <c r="N91">
        <f t="shared" si="17"/>
        <v>579.15538084238278</v>
      </c>
      <c r="O91">
        <f t="shared" si="17"/>
        <v>596.53004226765438</v>
      </c>
      <c r="P91">
        <f t="shared" si="17"/>
        <v>614.42594353568393</v>
      </c>
    </row>
    <row r="92" spans="2:16" x14ac:dyDescent="0.35">
      <c r="C92" s="25" t="str">
        <f>"(Incr) decr in "&amp;LOWER(C89)</f>
        <v>(Incr) decr in inventories</v>
      </c>
      <c r="F92">
        <f>E89-F89</f>
        <v>-53.399999999999977</v>
      </c>
      <c r="G92">
        <f t="shared" ref="G92:P92" si="18">F89-G89</f>
        <v>-64.93913196888451</v>
      </c>
      <c r="H92">
        <f t="shared" si="18"/>
        <v>-76.924179046778931</v>
      </c>
      <c r="I92">
        <f t="shared" si="18"/>
        <v>-80.998086701666637</v>
      </c>
      <c r="J92">
        <f t="shared" si="18"/>
        <v>-99.483171487798472</v>
      </c>
      <c r="K92">
        <f t="shared" si="18"/>
        <v>-96.596266654810393</v>
      </c>
      <c r="L92">
        <f t="shared" si="18"/>
        <v>-110.92290395642283</v>
      </c>
      <c r="M92">
        <f t="shared" si="18"/>
        <v>-88.920662185340575</v>
      </c>
      <c r="N92">
        <f t="shared" si="18"/>
        <v>-77.621720900135415</v>
      </c>
      <c r="O92">
        <f t="shared" si="18"/>
        <v>-51.280880170489809</v>
      </c>
      <c r="P92">
        <f t="shared" si="18"/>
        <v>-33.110610092169509</v>
      </c>
    </row>
    <row r="93" spans="2:16" x14ac:dyDescent="0.35">
      <c r="C93" s="25" t="str">
        <f t="shared" ref="C93" si="19">"(Incr) decr in "&amp;LOWER(C90)</f>
        <v>(Incr) decr in trade and other receivables</v>
      </c>
      <c r="F93">
        <f>E90-F90</f>
        <v>1.9000000000000021</v>
      </c>
      <c r="G93">
        <f t="shared" ref="G93:P93" si="20">F90-G90</f>
        <v>-3.1859999999999999</v>
      </c>
      <c r="H93">
        <f t="shared" si="20"/>
        <v>-3.7594800000000035</v>
      </c>
      <c r="I93">
        <f t="shared" si="20"/>
        <v>-3.943276799999996</v>
      </c>
      <c r="J93">
        <f t="shared" si="20"/>
        <v>-4.2883135199999955</v>
      </c>
      <c r="K93">
        <f t="shared" si="20"/>
        <v>-3.9452484384000002</v>
      </c>
      <c r="L93">
        <f t="shared" si="20"/>
        <v>-3.682231875840003</v>
      </c>
      <c r="M93">
        <f t="shared" si="20"/>
        <v>-3.2403640507392026</v>
      </c>
      <c r="N93">
        <f t="shared" si="20"/>
        <v>-2.6246948810987547</v>
      </c>
      <c r="O93">
        <f t="shared" si="20"/>
        <v>-1.3910882869823453</v>
      </c>
      <c r="P93">
        <f t="shared" si="20"/>
        <v>-1.4328209355918133</v>
      </c>
    </row>
    <row r="94" spans="2:16" x14ac:dyDescent="0.35">
      <c r="C94" s="25" t="str">
        <f>"Incr (decr) in "&amp;LOWER(C91)</f>
        <v>Incr (decr) in trade and other payables</v>
      </c>
      <c r="F94">
        <f>F91-E91</f>
        <v>18.199999999999989</v>
      </c>
      <c r="G94">
        <f t="shared" ref="G94:P94" si="21">G91-F91</f>
        <v>40.057958933615254</v>
      </c>
      <c r="H94">
        <f t="shared" si="21"/>
        <v>47.450982355822077</v>
      </c>
      <c r="I94">
        <f t="shared" si="21"/>
        <v>49.963988313724656</v>
      </c>
      <c r="J94">
        <f t="shared" si="21"/>
        <v>53.560939440474272</v>
      </c>
      <c r="K94">
        <f t="shared" si="21"/>
        <v>49.276064285236316</v>
      </c>
      <c r="L94">
        <f t="shared" si="21"/>
        <v>45.990993332887399</v>
      </c>
      <c r="M94">
        <f t="shared" si="21"/>
        <v>40.472074132940861</v>
      </c>
      <c r="N94">
        <f t="shared" si="21"/>
        <v>32.782380047681954</v>
      </c>
      <c r="O94">
        <f t="shared" si="21"/>
        <v>17.374661425271597</v>
      </c>
      <c r="P94">
        <f t="shared" si="21"/>
        <v>17.895901268029547</v>
      </c>
    </row>
    <row r="95" spans="2:16" x14ac:dyDescent="0.35">
      <c r="C95" t="str">
        <f>CFS!C18</f>
        <v>Property, plant and equipment additions</v>
      </c>
      <c r="D95">
        <f>CFS!D18</f>
        <v>0</v>
      </c>
      <c r="E95">
        <f>CFS!E18</f>
        <v>-41</v>
      </c>
      <c r="F95">
        <f>CFS!F18</f>
        <v>-75</v>
      </c>
      <c r="G95">
        <f t="shared" ref="G95:P95" si="22">-G79*G118</f>
        <v>-88.5</v>
      </c>
      <c r="H95">
        <f t="shared" si="22"/>
        <v>-104.43</v>
      </c>
      <c r="I95">
        <f t="shared" si="22"/>
        <v>-121.13879999999999</v>
      </c>
      <c r="J95">
        <f t="shared" si="22"/>
        <v>-139.30961999999997</v>
      </c>
      <c r="K95">
        <f t="shared" si="22"/>
        <v>-156.02677439999997</v>
      </c>
      <c r="L95">
        <f t="shared" si="22"/>
        <v>-171.62945184</v>
      </c>
      <c r="M95">
        <f t="shared" si="22"/>
        <v>-185.35980798720001</v>
      </c>
      <c r="N95">
        <f t="shared" si="22"/>
        <v>-196.48139646643202</v>
      </c>
      <c r="O95">
        <f t="shared" si="22"/>
        <v>-202.37583836042498</v>
      </c>
      <c r="P95">
        <f t="shared" si="22"/>
        <v>-208.44711351123775</v>
      </c>
    </row>
    <row r="96" spans="2:16" x14ac:dyDescent="0.35">
      <c r="C96" t="str">
        <f>BS!C12</f>
        <v>Borrowings</v>
      </c>
      <c r="D96">
        <f>BS!D12</f>
        <v>0</v>
      </c>
      <c r="E96">
        <f>BS!E12</f>
        <v>459.19999999999993</v>
      </c>
      <c r="F96">
        <f>BS!F12</f>
        <v>530.4</v>
      </c>
      <c r="G96">
        <f t="shared" ref="G96:P96" si="23">G87*G120</f>
        <v>636.04808400000013</v>
      </c>
      <c r="H96">
        <f t="shared" si="23"/>
        <v>741.28098290400021</v>
      </c>
      <c r="I96">
        <f t="shared" si="23"/>
        <v>849.14926295807948</v>
      </c>
      <c r="J96">
        <f t="shared" si="23"/>
        <v>976.52165240179181</v>
      </c>
      <c r="K96">
        <f t="shared" si="23"/>
        <v>1093.704250690007</v>
      </c>
      <c r="L96">
        <f t="shared" si="23"/>
        <v>1203.0746757590077</v>
      </c>
      <c r="M96">
        <f t="shared" si="23"/>
        <v>1299.3206498197283</v>
      </c>
      <c r="N96">
        <f t="shared" si="23"/>
        <v>1377.2798888089126</v>
      </c>
      <c r="O96">
        <f t="shared" si="23"/>
        <v>1418.5982854731797</v>
      </c>
      <c r="P96">
        <f t="shared" si="23"/>
        <v>1461.1562340373755</v>
      </c>
    </row>
    <row r="97" spans="1:16" x14ac:dyDescent="0.35">
      <c r="C97" s="25" t="str">
        <f>"(Incr) decr in "&amp;LOWER(C96)</f>
        <v>(Incr) decr in borrowings</v>
      </c>
      <c r="G97">
        <f>G96-F96</f>
        <v>105.64808400000015</v>
      </c>
      <c r="H97">
        <f t="shared" ref="H97:P97" si="24">H96-G96</f>
        <v>105.23289890400008</v>
      </c>
      <c r="I97">
        <f t="shared" si="24"/>
        <v>107.86828005407926</v>
      </c>
      <c r="J97">
        <f t="shared" si="24"/>
        <v>127.37238944371234</v>
      </c>
      <c r="K97">
        <f t="shared" si="24"/>
        <v>117.18259828821522</v>
      </c>
      <c r="L97">
        <f t="shared" si="24"/>
        <v>109.3704250690007</v>
      </c>
      <c r="M97">
        <f t="shared" si="24"/>
        <v>96.245974060720528</v>
      </c>
      <c r="N97">
        <f t="shared" si="24"/>
        <v>77.959238989184314</v>
      </c>
      <c r="O97">
        <f t="shared" si="24"/>
        <v>41.318396664267084</v>
      </c>
      <c r="P97">
        <f t="shared" si="24"/>
        <v>42.55794856419584</v>
      </c>
    </row>
    <row r="98" spans="1:16" x14ac:dyDescent="0.35">
      <c r="C98" s="25"/>
    </row>
    <row r="99" spans="1:16" x14ac:dyDescent="0.35">
      <c r="B99" s="12" t="s">
        <v>221</v>
      </c>
      <c r="C99" s="25"/>
    </row>
    <row r="100" spans="1:16" x14ac:dyDescent="0.35">
      <c r="C100" s="25"/>
    </row>
    <row r="101" spans="1:16" x14ac:dyDescent="0.35">
      <c r="C101" s="25"/>
    </row>
    <row r="102" spans="1:16" x14ac:dyDescent="0.35">
      <c r="C102" s="25"/>
    </row>
    <row r="103" spans="1:16" x14ac:dyDescent="0.35">
      <c r="C103" s="25"/>
    </row>
    <row r="104" spans="1:16" x14ac:dyDescent="0.35">
      <c r="C104" s="25"/>
    </row>
    <row r="105" spans="1:16" x14ac:dyDescent="0.35">
      <c r="C105" s="25"/>
    </row>
    <row r="106" spans="1:16" x14ac:dyDescent="0.35">
      <c r="C106" s="25"/>
    </row>
    <row r="107" spans="1:16" x14ac:dyDescent="0.35">
      <c r="A107" s="12" t="s">
        <v>220</v>
      </c>
    </row>
    <row r="108" spans="1:16" x14ac:dyDescent="0.35">
      <c r="B108" s="12" t="str">
        <f>B78</f>
        <v>Income statement</v>
      </c>
    </row>
    <row r="109" spans="1:16" x14ac:dyDescent="0.35">
      <c r="C109" t="s">
        <v>141</v>
      </c>
      <c r="F109" s="6">
        <f>F79/E79-1</f>
        <v>0.24620355411954753</v>
      </c>
      <c r="G109" s="21">
        <v>0.18</v>
      </c>
      <c r="H109" s="21">
        <v>0.18</v>
      </c>
      <c r="I109" s="21">
        <v>0.16</v>
      </c>
      <c r="J109" s="21">
        <v>0.15</v>
      </c>
      <c r="K109" s="21">
        <v>0.12</v>
      </c>
      <c r="L109" s="21">
        <v>0.1</v>
      </c>
      <c r="M109" s="21">
        <v>0.08</v>
      </c>
      <c r="N109" s="21">
        <v>0.06</v>
      </c>
      <c r="O109" s="21">
        <v>0.03</v>
      </c>
      <c r="P109" s="21">
        <v>0.03</v>
      </c>
    </row>
    <row r="110" spans="1:16" x14ac:dyDescent="0.35">
      <c r="C110" t="s">
        <v>142</v>
      </c>
      <c r="E110" s="6">
        <f>-E80/E$79</f>
        <v>0.85355411954765759</v>
      </c>
      <c r="F110" s="6">
        <f>-F80/F$79</f>
        <v>0.85824474980554832</v>
      </c>
      <c r="G110" s="21">
        <v>0.86</v>
      </c>
      <c r="H110" s="21">
        <v>0.86199999999999999</v>
      </c>
      <c r="I110" s="21">
        <v>0.86399999999999999</v>
      </c>
      <c r="J110" s="21">
        <v>0.86399999999999999</v>
      </c>
      <c r="K110" s="21">
        <v>0.86399999999999999</v>
      </c>
      <c r="L110" s="21">
        <v>0.86399999999999999</v>
      </c>
      <c r="M110" s="21">
        <v>0.86399999999999999</v>
      </c>
      <c r="N110" s="21">
        <v>0.86399999999999999</v>
      </c>
      <c r="O110" s="21">
        <v>0.86399999999999999</v>
      </c>
      <c r="P110" s="21">
        <v>0.86399999999999999</v>
      </c>
    </row>
    <row r="111" spans="1:16" x14ac:dyDescent="0.35">
      <c r="C111" t="s">
        <v>143</v>
      </c>
      <c r="E111" s="6">
        <f>-E81/E$79</f>
        <v>3.0371567043618743E-2</v>
      </c>
      <c r="F111" s="6">
        <f>-F81/F$79</f>
        <v>2.5862068965517241E-2</v>
      </c>
      <c r="G111" s="21">
        <v>2.5862068965517241E-2</v>
      </c>
      <c r="H111" s="21">
        <v>2.5862068965517241E-2</v>
      </c>
      <c r="I111" s="21">
        <v>2.5862068965517241E-2</v>
      </c>
      <c r="J111" s="21">
        <v>2.5862068965517241E-2</v>
      </c>
      <c r="K111" s="21">
        <v>2.5862068965517241E-2</v>
      </c>
      <c r="L111" s="21">
        <v>2.5862068965517241E-2</v>
      </c>
      <c r="M111" s="21">
        <v>2.5862068965517241E-2</v>
      </c>
      <c r="N111" s="21">
        <v>2.5862068965517241E-2</v>
      </c>
      <c r="O111" s="21">
        <v>2.5862068965517241E-2</v>
      </c>
      <c r="P111" s="21">
        <v>2.5862068965517241E-2</v>
      </c>
    </row>
    <row r="112" spans="1:16" x14ac:dyDescent="0.35">
      <c r="C112" t="s">
        <v>165</v>
      </c>
      <c r="E112" s="6">
        <f>-E83/E96</f>
        <v>3.4843205574912897E-2</v>
      </c>
      <c r="F112" s="6">
        <f>-F83/F96</f>
        <v>4.5248868778280542E-2</v>
      </c>
      <c r="G112" s="21">
        <v>5.5E-2</v>
      </c>
      <c r="H112" s="21">
        <v>5.8999999999999997E-2</v>
      </c>
      <c r="I112" s="21">
        <v>6.2E-2</v>
      </c>
      <c r="J112" s="21">
        <v>5.8000000000000003E-2</v>
      </c>
      <c r="K112" s="21">
        <v>5.5E-2</v>
      </c>
      <c r="L112" s="21">
        <v>5.1999999999999998E-2</v>
      </c>
      <c r="M112" s="21">
        <v>5.1999999999999998E-2</v>
      </c>
      <c r="N112" s="21">
        <v>5.1999999999999998E-2</v>
      </c>
      <c r="O112" s="21">
        <v>5.1999999999999998E-2</v>
      </c>
      <c r="P112" s="21">
        <v>5.1999999999999998E-2</v>
      </c>
    </row>
    <row r="113" spans="1:16" x14ac:dyDescent="0.35">
      <c r="C113" t="s">
        <v>164</v>
      </c>
      <c r="E113" s="6">
        <f>-E84/IS!E11</f>
        <v>0.19981220657277002</v>
      </c>
      <c r="F113" s="6">
        <f>-F84/IS!F11</f>
        <v>0.213159922928709</v>
      </c>
      <c r="G113" s="21">
        <v>0.26</v>
      </c>
      <c r="H113" s="21">
        <v>0.26</v>
      </c>
      <c r="I113" s="21">
        <v>0.26</v>
      </c>
      <c r="J113" s="21">
        <v>0.26</v>
      </c>
      <c r="K113" s="21">
        <v>0.26</v>
      </c>
      <c r="L113" s="21">
        <v>0.26</v>
      </c>
      <c r="M113" s="21">
        <v>0.26</v>
      </c>
      <c r="N113" s="21">
        <v>0.26</v>
      </c>
      <c r="O113" s="21">
        <v>0.26</v>
      </c>
      <c r="P113" s="21">
        <v>0.26</v>
      </c>
    </row>
    <row r="114" spans="1:16" x14ac:dyDescent="0.35">
      <c r="B114" s="12" t="str">
        <f>B88</f>
        <v>Cash flow statement &amp; Balance sheet</v>
      </c>
    </row>
    <row r="115" spans="1:16" x14ac:dyDescent="0.35">
      <c r="C115" t="str">
        <f>C89&amp;" days"</f>
        <v>Inventories days</v>
      </c>
      <c r="E115">
        <f>-E89/E80*365</f>
        <v>104.5225702659222</v>
      </c>
      <c r="F115">
        <f>-F89/F80*365</f>
        <v>98.134581980212971</v>
      </c>
      <c r="G115" s="16">
        <v>98.134581980212971</v>
      </c>
      <c r="H115" s="16">
        <v>98.134581980212971</v>
      </c>
      <c r="I115" s="16">
        <v>98.134581980212971</v>
      </c>
      <c r="J115" s="16">
        <v>100</v>
      </c>
      <c r="K115" s="16">
        <v>102</v>
      </c>
      <c r="L115" s="16">
        <v>106</v>
      </c>
      <c r="M115" s="16">
        <v>108</v>
      </c>
      <c r="N115" s="16">
        <v>110</v>
      </c>
      <c r="O115" s="16">
        <v>112</v>
      </c>
      <c r="P115" s="16">
        <v>112</v>
      </c>
    </row>
    <row r="116" spans="1:16" x14ac:dyDescent="0.35">
      <c r="C116" t="str">
        <f>C90&amp;" days"</f>
        <v>Trade and other receivables days</v>
      </c>
      <c r="E116">
        <f>E90/E79*365</f>
        <v>5.7786752827140555</v>
      </c>
      <c r="F116">
        <f>F90/F79*365</f>
        <v>4.1875162043038632</v>
      </c>
      <c r="G116" s="16">
        <v>4.1875162043038632</v>
      </c>
      <c r="H116" s="16">
        <v>4.1875162043038632</v>
      </c>
      <c r="I116" s="16">
        <v>4.1875162043038632</v>
      </c>
      <c r="J116" s="16">
        <v>4.1875162043038632</v>
      </c>
      <c r="K116" s="16">
        <v>4.1875162043038632</v>
      </c>
      <c r="L116" s="16">
        <v>4.1875162043038632</v>
      </c>
      <c r="M116" s="16">
        <v>4.1875162043038632</v>
      </c>
      <c r="N116" s="16">
        <v>4.1875162043038632</v>
      </c>
      <c r="O116" s="16">
        <v>4.1875162043038632</v>
      </c>
      <c r="P116" s="16">
        <v>4.1875162043038632</v>
      </c>
    </row>
    <row r="117" spans="1:16" x14ac:dyDescent="0.35">
      <c r="C117" t="str">
        <f>C91&amp;" days"</f>
        <v>Trade and other payables days</v>
      </c>
      <c r="E117">
        <f>E91/-E80*365</f>
        <v>69.566575186902625</v>
      </c>
      <c r="F117">
        <f>F91/-F80*365</f>
        <v>60.534702817007776</v>
      </c>
      <c r="G117" s="16">
        <v>60.534702817007776</v>
      </c>
      <c r="H117" s="16">
        <v>60.534702817007776</v>
      </c>
      <c r="I117" s="16">
        <v>60.534702817007776</v>
      </c>
      <c r="J117" s="16">
        <v>60.534702817007776</v>
      </c>
      <c r="K117" s="16">
        <v>60.534702817007776</v>
      </c>
      <c r="L117" s="16">
        <v>60.534702817007776</v>
      </c>
      <c r="M117" s="16">
        <v>60.534702817007776</v>
      </c>
      <c r="N117" s="16">
        <v>60.534702817007776</v>
      </c>
      <c r="O117" s="16">
        <v>60.534702817007776</v>
      </c>
      <c r="P117" s="16">
        <v>60.534702817007776</v>
      </c>
    </row>
    <row r="118" spans="1:16" x14ac:dyDescent="0.35">
      <c r="C118" t="s">
        <v>162</v>
      </c>
      <c r="E118" s="6">
        <f>-E95/E79</f>
        <v>3.3117932148626815E-2</v>
      </c>
      <c r="F118" s="6">
        <f>-F95/F79</f>
        <v>4.8612911589318124E-2</v>
      </c>
      <c r="G118" s="21">
        <v>4.8612911589318124E-2</v>
      </c>
      <c r="H118" s="21">
        <v>4.8612911589318124E-2</v>
      </c>
      <c r="I118" s="21">
        <v>4.8612911589318124E-2</v>
      </c>
      <c r="J118" s="21">
        <v>4.8612911589318124E-2</v>
      </c>
      <c r="K118" s="21">
        <v>4.8612911589318124E-2</v>
      </c>
      <c r="L118" s="21">
        <v>4.8612911589318124E-2</v>
      </c>
      <c r="M118" s="21">
        <v>4.8612911589318124E-2</v>
      </c>
      <c r="N118" s="21">
        <v>4.8612911589318124E-2</v>
      </c>
      <c r="O118" s="21">
        <v>4.8612911589318124E-2</v>
      </c>
      <c r="P118" s="21">
        <v>4.8612911589318124E-2</v>
      </c>
    </row>
    <row r="119" spans="1:16" x14ac:dyDescent="0.35">
      <c r="C119" t="s">
        <v>163</v>
      </c>
      <c r="E119" s="26">
        <f>-E95/E82</f>
        <v>0.60117302052785926</v>
      </c>
      <c r="F119" s="26">
        <f>-F95/F82</f>
        <v>0.90799031476997583</v>
      </c>
      <c r="G119" s="27">
        <v>1</v>
      </c>
      <c r="H119" s="27">
        <v>1</v>
      </c>
      <c r="I119" s="27">
        <v>1</v>
      </c>
      <c r="J119" s="27">
        <v>1</v>
      </c>
      <c r="K119" s="27">
        <v>1</v>
      </c>
      <c r="L119" s="27">
        <v>1</v>
      </c>
      <c r="M119" s="27">
        <v>1</v>
      </c>
      <c r="N119" s="27">
        <v>1</v>
      </c>
      <c r="O119" s="27">
        <v>1</v>
      </c>
      <c r="P119" s="27">
        <v>1</v>
      </c>
    </row>
    <row r="120" spans="1:16" x14ac:dyDescent="0.35">
      <c r="C120" t="s">
        <v>167</v>
      </c>
      <c r="E120" s="26">
        <f>E96/E87</f>
        <v>2.1417910447761193</v>
      </c>
      <c r="F120" s="26">
        <f>F96/F87</f>
        <v>2.0045351473922901</v>
      </c>
      <c r="G120" s="27">
        <v>2.1</v>
      </c>
      <c r="H120" s="27">
        <v>2.1</v>
      </c>
      <c r="I120" s="27">
        <v>2.1</v>
      </c>
      <c r="J120" s="27">
        <v>2.1</v>
      </c>
      <c r="K120" s="27">
        <v>2.1</v>
      </c>
      <c r="L120" s="27">
        <v>2.1</v>
      </c>
      <c r="M120" s="27">
        <v>2.1</v>
      </c>
      <c r="N120" s="27">
        <v>2.1</v>
      </c>
      <c r="O120" s="27">
        <v>2.1</v>
      </c>
      <c r="P120" s="27">
        <v>2.1</v>
      </c>
    </row>
    <row r="122" spans="1:16" x14ac:dyDescent="0.35">
      <c r="A122" s="15" t="s">
        <v>199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6" x14ac:dyDescent="0.35">
      <c r="B123" t="s">
        <v>202</v>
      </c>
      <c r="E123" t="s">
        <v>203</v>
      </c>
    </row>
    <row r="124" spans="1:16" x14ac:dyDescent="0.35">
      <c r="B124" t="s">
        <v>212</v>
      </c>
      <c r="D124">
        <v>1</v>
      </c>
    </row>
    <row r="125" spans="1:16" x14ac:dyDescent="0.35">
      <c r="C125" t="s">
        <v>147</v>
      </c>
    </row>
    <row r="126" spans="1:16" x14ac:dyDescent="0.35">
      <c r="C126" t="s">
        <v>213</v>
      </c>
    </row>
    <row r="127" spans="1:16" x14ac:dyDescent="0.35">
      <c r="G127" s="28" t="s">
        <v>209</v>
      </c>
      <c r="H127" s="28" t="s">
        <v>211</v>
      </c>
      <c r="J127" s="28" t="s">
        <v>217</v>
      </c>
      <c r="K127" s="28" t="s">
        <v>215</v>
      </c>
    </row>
    <row r="128" spans="1:16" ht="16.2" x14ac:dyDescent="0.5">
      <c r="C128" t="s">
        <v>204</v>
      </c>
      <c r="E128" s="29" t="s">
        <v>205</v>
      </c>
      <c r="F128" s="29" t="s">
        <v>206</v>
      </c>
      <c r="G128" s="29" t="s">
        <v>210</v>
      </c>
      <c r="H128" s="29" t="s">
        <v>210</v>
      </c>
      <c r="I128" s="29" t="s">
        <v>214</v>
      </c>
      <c r="J128" s="29" t="s">
        <v>218</v>
      </c>
      <c r="K128" s="29" t="s">
        <v>216</v>
      </c>
    </row>
    <row r="129" spans="1:13" x14ac:dyDescent="0.35">
      <c r="C129" t="s">
        <v>200</v>
      </c>
      <c r="E129" s="16">
        <v>606454</v>
      </c>
      <c r="F129" s="17">
        <v>4.37</v>
      </c>
      <c r="G129" s="2">
        <f>Control!$E$14/100</f>
        <v>6.13</v>
      </c>
      <c r="H129" s="2">
        <f>DCF!$F$43</f>
        <v>8.5764910780728467</v>
      </c>
      <c r="I129" s="45">
        <f>IF(G129&gt;F129,0,1)</f>
        <v>0</v>
      </c>
      <c r="J129">
        <f>(I129*E129)/1000000</f>
        <v>0</v>
      </c>
      <c r="K129">
        <f>J129*F129</f>
        <v>0</v>
      </c>
    </row>
    <row r="130" spans="1:13" x14ac:dyDescent="0.35">
      <c r="C130" t="s">
        <v>201</v>
      </c>
      <c r="E130" s="16">
        <v>12863</v>
      </c>
      <c r="F130" s="17">
        <v>8.24</v>
      </c>
      <c r="G130" s="2">
        <f>Control!$E$14/100</f>
        <v>6.13</v>
      </c>
      <c r="H130" s="2">
        <f>DCF!$F$43</f>
        <v>8.5764910780728467</v>
      </c>
      <c r="I130" s="45">
        <f t="shared" ref="I130:I132" si="25">IF(G130&gt;F130,0,1)</f>
        <v>1</v>
      </c>
      <c r="J130">
        <f t="shared" ref="J130:J132" si="26">(I130*E130)/1000000</f>
        <v>1.2862999999999999E-2</v>
      </c>
      <c r="K130">
        <f t="shared" ref="K130:K132" si="27">J130*F130</f>
        <v>0.10599111999999999</v>
      </c>
    </row>
    <row r="131" spans="1:13" x14ac:dyDescent="0.35">
      <c r="C131" t="s">
        <v>207</v>
      </c>
      <c r="E131" s="16">
        <v>0</v>
      </c>
      <c r="F131" s="17">
        <v>10.8</v>
      </c>
      <c r="G131" s="2">
        <f>Control!$E$14/100</f>
        <v>6.13</v>
      </c>
      <c r="H131" s="2">
        <f>DCF!$F$43</f>
        <v>8.5764910780728467</v>
      </c>
      <c r="I131" s="45">
        <f t="shared" si="25"/>
        <v>1</v>
      </c>
      <c r="J131">
        <f t="shared" si="26"/>
        <v>0</v>
      </c>
      <c r="K131">
        <f t="shared" si="27"/>
        <v>0</v>
      </c>
    </row>
    <row r="132" spans="1:13" x14ac:dyDescent="0.35">
      <c r="C132" t="s">
        <v>208</v>
      </c>
      <c r="E132" s="30">
        <v>0</v>
      </c>
      <c r="F132" s="17">
        <v>12.66</v>
      </c>
      <c r="G132" s="2">
        <f>Control!$E$14/100</f>
        <v>6.13</v>
      </c>
      <c r="H132" s="2">
        <f>DCF!$F$43</f>
        <v>8.5764910780728467</v>
      </c>
      <c r="I132" s="45">
        <f t="shared" si="25"/>
        <v>1</v>
      </c>
      <c r="J132">
        <f t="shared" si="26"/>
        <v>0</v>
      </c>
      <c r="K132">
        <f t="shared" si="27"/>
        <v>0</v>
      </c>
    </row>
    <row r="133" spans="1:13" x14ac:dyDescent="0.35">
      <c r="J133" s="7">
        <f>SUM(J129:J132)</f>
        <v>1.2862999999999999E-2</v>
      </c>
    </row>
    <row r="134" spans="1:13" x14ac:dyDescent="0.35">
      <c r="K134" s="7">
        <f>SUM(K129:K133)</f>
        <v>0.10599111999999999</v>
      </c>
    </row>
    <row r="136" spans="1:13" x14ac:dyDescent="0.35">
      <c r="A136" s="15" t="s">
        <v>222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8" spans="1:13" x14ac:dyDescent="0.35">
      <c r="B138" t="s">
        <v>223</v>
      </c>
    </row>
    <row r="139" spans="1:13" x14ac:dyDescent="0.35">
      <c r="C139" t="s">
        <v>224</v>
      </c>
      <c r="E139" s="2">
        <f>DCF!F43</f>
        <v>8.5764910780728467</v>
      </c>
    </row>
    <row r="141" spans="1:13" x14ac:dyDescent="0.35">
      <c r="E141" s="28" t="s">
        <v>262</v>
      </c>
      <c r="F141" s="28" t="s">
        <v>264</v>
      </c>
      <c r="G141" s="28"/>
    </row>
    <row r="142" spans="1:13" ht="16.2" x14ac:dyDescent="0.5">
      <c r="E142" s="33" t="s">
        <v>263</v>
      </c>
      <c r="F142" s="33" t="s">
        <v>263</v>
      </c>
      <c r="G142" s="33" t="s">
        <v>225</v>
      </c>
    </row>
    <row r="143" spans="1:13" x14ac:dyDescent="0.35">
      <c r="C143" t="s">
        <v>18</v>
      </c>
      <c r="E143" s="6">
        <f>WACC</f>
        <v>0.10607307189292682</v>
      </c>
      <c r="F143" s="9">
        <f>E143</f>
        <v>0.10607307189292682</v>
      </c>
      <c r="G143" s="9">
        <v>0.01</v>
      </c>
    </row>
    <row r="144" spans="1:13" x14ac:dyDescent="0.35">
      <c r="C144" t="str">
        <f>C67</f>
        <v>Sustainable growth rate</v>
      </c>
      <c r="E144" s="6">
        <f>g</f>
        <v>4.3999999999999997E-2</v>
      </c>
      <c r="F144" s="9">
        <v>4.3999999999999997E-2</v>
      </c>
      <c r="G144" s="9">
        <v>5.0000000000000001E-3</v>
      </c>
    </row>
    <row r="147" spans="5:10" x14ac:dyDescent="0.35">
      <c r="E147" s="42">
        <f>DCF!F43</f>
        <v>8.5764910780728467</v>
      </c>
      <c r="F147" s="40">
        <f t="shared" ref="F147:G147" si="28">G147-$G$144</f>
        <v>3.4000000000000002E-2</v>
      </c>
      <c r="G147" s="40">
        <f t="shared" si="28"/>
        <v>3.9E-2</v>
      </c>
      <c r="H147" s="40">
        <f>F144</f>
        <v>4.3999999999999997E-2</v>
      </c>
      <c r="I147" s="40">
        <f>H147+$G$144</f>
        <v>4.8999999999999995E-2</v>
      </c>
      <c r="J147" s="40">
        <f>I147+$G$144</f>
        <v>5.3999999999999992E-2</v>
      </c>
    </row>
    <row r="148" spans="5:10" x14ac:dyDescent="0.35">
      <c r="E148" s="41">
        <f t="shared" ref="E148:E149" si="29">E149-$G$143</f>
        <v>8.6073071892926831E-2</v>
      </c>
      <c r="F148" s="2">
        <f t="dataTable" ref="F148:J152" dt2D="1" dtr="1" r1="E67" r2="E40" ca="1"/>
        <v>12.678567027504341</v>
      </c>
      <c r="G148" s="2">
        <v>12.941654228707099</v>
      </c>
      <c r="H148" s="2">
        <v>13.259511136759803</v>
      </c>
      <c r="I148" s="2">
        <v>13.654297922395576</v>
      </c>
      <c r="J148" s="2">
        <v>14.16199330843831</v>
      </c>
    </row>
    <row r="149" spans="5:10" x14ac:dyDescent="0.35">
      <c r="E149" s="41">
        <f t="shared" si="29"/>
        <v>9.6073071892926826E-2</v>
      </c>
      <c r="F149" s="2">
        <v>16.162803491604883</v>
      </c>
      <c r="G149" s="2">
        <v>16.839303857643777</v>
      </c>
      <c r="H149" s="2">
        <v>17.715561040604097</v>
      </c>
      <c r="I149" s="2">
        <v>18.902251518783974</v>
      </c>
      <c r="J149" s="2">
        <v>20.610333669471412</v>
      </c>
    </row>
    <row r="150" spans="5:10" x14ac:dyDescent="0.35">
      <c r="E150" s="41">
        <f>F143</f>
        <v>0.10607307189292682</v>
      </c>
      <c r="F150" s="2">
        <v>16.162803491604883</v>
      </c>
      <c r="G150" s="2">
        <v>16.839303857643777</v>
      </c>
      <c r="H150" s="2">
        <v>17.715561040604097</v>
      </c>
      <c r="I150" s="2">
        <v>18.902251518783974</v>
      </c>
      <c r="J150" s="2">
        <v>20.610333669471412</v>
      </c>
    </row>
    <row r="151" spans="5:10" x14ac:dyDescent="0.35">
      <c r="E151" s="41">
        <f>E150+$G$143</f>
        <v>0.11607307189292682</v>
      </c>
      <c r="F151" s="2">
        <v>12.678567027504341</v>
      </c>
      <c r="G151" s="2">
        <v>12.941654228707099</v>
      </c>
      <c r="H151" s="2">
        <v>13.259511136759803</v>
      </c>
      <c r="I151" s="2">
        <v>13.654297922395576</v>
      </c>
      <c r="J151" s="2">
        <v>14.16199330843831</v>
      </c>
    </row>
    <row r="152" spans="5:10" x14ac:dyDescent="0.35">
      <c r="E152" s="41">
        <f>E151+$G$143</f>
        <v>0.12607307189292682</v>
      </c>
      <c r="F152" s="2">
        <v>8.5768720049755114</v>
      </c>
      <c r="G152" s="2">
        <v>8.5787239519068361</v>
      </c>
      <c r="H152" s="2">
        <v>8.5764910780728467</v>
      </c>
      <c r="I152" s="2">
        <v>8.5690998069260083</v>
      </c>
      <c r="J152" s="2">
        <v>8.5550642272865094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 altText="Equity award switch">
                <anchor moveWithCells="1">
                  <from>
                    <xdr:col>1</xdr:col>
                    <xdr:colOff>114300</xdr:colOff>
                    <xdr:row>132</xdr:row>
                    <xdr:rowOff>83820</xdr:rowOff>
                  </from>
                  <to>
                    <xdr:col>2</xdr:col>
                    <xdr:colOff>1417320</xdr:colOff>
                    <xdr:row>134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" name="List Box 16">
              <controlPr defaultSize="0" autoLine="0" autoPict="0" altText="">
                <anchor moveWithCells="1">
                  <from>
                    <xdr:col>2</xdr:col>
                    <xdr:colOff>15240</xdr:colOff>
                    <xdr:row>55</xdr:row>
                    <xdr:rowOff>167640</xdr:rowOff>
                  </from>
                  <to>
                    <xdr:col>2</xdr:col>
                    <xdr:colOff>1463040</xdr:colOff>
                    <xdr:row>58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5" name="List Box 33">
              <controlPr defaultSize="0" autoLine="0" autoPict="0" altText="">
                <anchor moveWithCells="1">
                  <from>
                    <xdr:col>1</xdr:col>
                    <xdr:colOff>114300</xdr:colOff>
                    <xdr:row>21</xdr:row>
                    <xdr:rowOff>53340</xdr:rowOff>
                  </from>
                  <to>
                    <xdr:col>2</xdr:col>
                    <xdr:colOff>1828800</xdr:colOff>
                    <xdr:row>23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6CDBCEF-9E98-4E73-8239-37B914DA51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Control!F115:P115</xm:f>
              <xm:sqref>R115</xm:sqref>
            </x14:sparkline>
            <x14:sparkline>
              <xm:f>Control!F116:P116</xm:f>
              <xm:sqref>R116</xm:sqref>
            </x14:sparkline>
            <x14:sparkline>
              <xm:f>Control!F117:P117</xm:f>
              <xm:sqref>R117</xm:sqref>
            </x14:sparkline>
            <x14:sparkline>
              <xm:f>Control!F118:P118</xm:f>
              <xm:sqref>R118</xm:sqref>
            </x14:sparkline>
            <x14:sparkline>
              <xm:f>Control!F119:P119</xm:f>
              <xm:sqref>R119</xm:sqref>
            </x14:sparkline>
          </x14:sparklines>
        </x14:sparklineGroup>
        <x14:sparklineGroup displayEmptyCellsAs="gap" xr2:uid="{E3ABAF2F-F004-4490-BD42-C3306C479A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Control!F109:P109</xm:f>
              <xm:sqref>R109</xm:sqref>
            </x14:sparkline>
            <x14:sparkline>
              <xm:f>Control!F110:P110</xm:f>
              <xm:sqref>R110</xm:sqref>
            </x14:sparkline>
            <x14:sparkline>
              <xm:f>Control!F111:P111</xm:f>
              <xm:sqref>R111</xm:sqref>
            </x14:sparkline>
            <x14:sparkline>
              <xm:f>Control!F112:P112</xm:f>
              <xm:sqref>R112</xm:sqref>
            </x14:sparkline>
            <x14:sparkline>
              <xm:f>Control!F113:P113</xm:f>
              <xm:sqref>R113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467E-33E0-456A-A771-AA17FB479059}">
  <sheetPr codeName="Sheet3"/>
  <dimension ref="A1:Y37"/>
  <sheetViews>
    <sheetView showGridLines="0" zoomScale="125" zoomScaleNormal="125" workbookViewId="0"/>
  </sheetViews>
  <sheetFormatPr defaultColWidth="0" defaultRowHeight="14.4" x14ac:dyDescent="0.35"/>
  <cols>
    <col min="1" max="2" width="1.77734375" customWidth="1"/>
    <col min="3" max="3" width="30.77734375" customWidth="1"/>
    <col min="4" max="4" width="0.88671875" customWidth="1"/>
    <col min="5" max="16" width="8.88671875" customWidth="1"/>
    <col min="17" max="17" width="1.77734375" customWidth="1"/>
    <col min="18" max="25" width="8.88671875" customWidth="1"/>
    <col min="26" max="16384" width="8.88671875" hidden="1"/>
  </cols>
  <sheetData>
    <row r="1" spans="1:17" x14ac:dyDescent="0.35">
      <c r="A1" s="15" t="str">
        <f>"Income statement for "&amp;CoName</f>
        <v>Income statement for Watches of Switzerland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A2" t="str">
        <f>IF(Tests=0,"All diagnostics passed","Diagnostic failure")</f>
        <v>All diagnostics passed</v>
      </c>
      <c r="E2">
        <v>-1</v>
      </c>
      <c r="F2">
        <f>E2+1</f>
        <v>0</v>
      </c>
      <c r="G2">
        <f t="shared" ref="G2:P2" si="0">F2+1</f>
        <v>1</v>
      </c>
      <c r="H2">
        <f t="shared" si="0"/>
        <v>2</v>
      </c>
      <c r="I2">
        <f t="shared" si="0"/>
        <v>3</v>
      </c>
      <c r="J2">
        <f t="shared" si="0"/>
        <v>4</v>
      </c>
      <c r="K2">
        <f t="shared" si="0"/>
        <v>5</v>
      </c>
      <c r="L2">
        <f t="shared" si="0"/>
        <v>6</v>
      </c>
      <c r="M2">
        <f t="shared" si="0"/>
        <v>7</v>
      </c>
      <c r="N2">
        <f t="shared" si="0"/>
        <v>8</v>
      </c>
      <c r="O2">
        <f t="shared" si="0"/>
        <v>9</v>
      </c>
      <c r="P2">
        <f t="shared" si="0"/>
        <v>10</v>
      </c>
    </row>
    <row r="3" spans="1:17" ht="16.2" x14ac:dyDescent="0.5">
      <c r="E3" s="14">
        <f t="shared" ref="E3:P3" si="1">EDATE(HYE,12*E2)</f>
        <v>44926</v>
      </c>
      <c r="F3" s="14">
        <f t="shared" si="1"/>
        <v>45291</v>
      </c>
      <c r="G3" s="14">
        <f t="shared" si="1"/>
        <v>45657</v>
      </c>
      <c r="H3" s="14">
        <f t="shared" si="1"/>
        <v>46022</v>
      </c>
      <c r="I3" s="14">
        <f t="shared" si="1"/>
        <v>46387</v>
      </c>
      <c r="J3" s="14">
        <f t="shared" si="1"/>
        <v>46752</v>
      </c>
      <c r="K3" s="14">
        <f t="shared" si="1"/>
        <v>47118</v>
      </c>
      <c r="L3" s="14">
        <f t="shared" si="1"/>
        <v>47483</v>
      </c>
      <c r="M3" s="14">
        <f t="shared" si="1"/>
        <v>47848</v>
      </c>
      <c r="N3" s="14">
        <f t="shared" si="1"/>
        <v>48213</v>
      </c>
      <c r="O3" s="14">
        <f t="shared" si="1"/>
        <v>48579</v>
      </c>
      <c r="P3" s="14">
        <f t="shared" si="1"/>
        <v>48944</v>
      </c>
    </row>
    <row r="4" spans="1:17" x14ac:dyDescent="0.35">
      <c r="C4" t="s">
        <v>28</v>
      </c>
      <c r="E4">
        <v>1238</v>
      </c>
      <c r="F4">
        <v>1542.8</v>
      </c>
      <c r="G4">
        <f>Control!G79</f>
        <v>1820.5039999999999</v>
      </c>
      <c r="H4">
        <f>Control!H79</f>
        <v>2148.19472</v>
      </c>
      <c r="I4">
        <f>Control!I79</f>
        <v>2491.9058751999996</v>
      </c>
      <c r="J4">
        <f>Control!J79</f>
        <v>2865.6917564799992</v>
      </c>
      <c r="K4">
        <f>Control!K79</f>
        <v>3209.5747672575994</v>
      </c>
      <c r="L4">
        <f>Control!L79</f>
        <v>3530.5322439833599</v>
      </c>
      <c r="M4">
        <f>Control!M79</f>
        <v>3812.9748235020288</v>
      </c>
      <c r="N4">
        <f>Control!N79</f>
        <v>4041.7533129121507</v>
      </c>
      <c r="O4">
        <f>Control!O79</f>
        <v>4163.0059122995153</v>
      </c>
      <c r="P4">
        <f>Control!P79</f>
        <v>4287.8960896685012</v>
      </c>
    </row>
    <row r="5" spans="1:17" x14ac:dyDescent="0.35">
      <c r="C5" t="s">
        <v>29</v>
      </c>
      <c r="E5">
        <v>-1056.7</v>
      </c>
      <c r="F5">
        <v>-1324.1</v>
      </c>
      <c r="G5">
        <f>Control!G80</f>
        <v>-1565.6334399999998</v>
      </c>
      <c r="H5">
        <f>Control!H80</f>
        <v>-1851.7438486399999</v>
      </c>
      <c r="I5">
        <f>Control!I80</f>
        <v>-2153.0066761727999</v>
      </c>
      <c r="J5">
        <f>Control!J80</f>
        <v>-2475.9576775987193</v>
      </c>
      <c r="K5">
        <f>Control!K80</f>
        <v>-2773.0725989105658</v>
      </c>
      <c r="L5">
        <f>Control!L80</f>
        <v>-3050.379858801623</v>
      </c>
      <c r="M5">
        <f>Control!M80</f>
        <v>-3294.410247505753</v>
      </c>
      <c r="N5">
        <f>Control!N80</f>
        <v>-3492.074862356098</v>
      </c>
      <c r="O5">
        <f>Control!O80</f>
        <v>-3596.8371082267813</v>
      </c>
      <c r="P5">
        <f>Control!P80</f>
        <v>-3704.7422214735848</v>
      </c>
    </row>
    <row r="6" spans="1:17" x14ac:dyDescent="0.35">
      <c r="C6" s="7" t="s">
        <v>39</v>
      </c>
      <c r="D6" s="7"/>
      <c r="E6" s="7">
        <f>SUM(E4:E5)</f>
        <v>181.29999999999995</v>
      </c>
      <c r="F6" s="7">
        <f>SUM(F4:F5)</f>
        <v>218.70000000000005</v>
      </c>
      <c r="G6" s="7">
        <f t="shared" ref="G6:P6" si="2">SUM(G4:G5)</f>
        <v>254.87056000000007</v>
      </c>
      <c r="H6" s="7">
        <f t="shared" si="2"/>
        <v>296.45087136000006</v>
      </c>
      <c r="I6" s="7">
        <f t="shared" si="2"/>
        <v>338.89919902719976</v>
      </c>
      <c r="J6" s="7">
        <f t="shared" si="2"/>
        <v>389.73407888127986</v>
      </c>
      <c r="K6" s="7">
        <f t="shared" si="2"/>
        <v>436.5021683470336</v>
      </c>
      <c r="L6" s="7">
        <f t="shared" si="2"/>
        <v>480.15238518173692</v>
      </c>
      <c r="M6" s="7">
        <f t="shared" si="2"/>
        <v>518.56457599627583</v>
      </c>
      <c r="N6" s="7">
        <f t="shared" si="2"/>
        <v>549.67845055605267</v>
      </c>
      <c r="O6" s="7">
        <f t="shared" si="2"/>
        <v>566.16880407273402</v>
      </c>
      <c r="P6" s="7">
        <f t="shared" si="2"/>
        <v>583.15386819491641</v>
      </c>
    </row>
    <row r="7" spans="1:17" x14ac:dyDescent="0.35">
      <c r="C7" t="s">
        <v>30</v>
      </c>
      <c r="E7">
        <v>-37.6</v>
      </c>
      <c r="F7">
        <v>-39.9</v>
      </c>
      <c r="G7">
        <f>Control!G81</f>
        <v>-40.490519999999997</v>
      </c>
      <c r="H7">
        <f>Control!H81</f>
        <v>-47.889927119999996</v>
      </c>
      <c r="I7">
        <f>Control!I81</f>
        <v>-55.681207142399998</v>
      </c>
      <c r="J7">
        <f>Control!J81</f>
        <v>-64.033388213759977</v>
      </c>
      <c r="K7">
        <f>Control!K81</f>
        <v>-71.717394799411181</v>
      </c>
      <c r="L7">
        <f>Control!L81</f>
        <v>-78.889134279352319</v>
      </c>
      <c r="M7">
        <f>Control!M81</f>
        <v>-85.200265021700503</v>
      </c>
      <c r="N7">
        <f>Control!N81</f>
        <v>-90.312280923002533</v>
      </c>
      <c r="O7">
        <f>Control!O81</f>
        <v>-93.021649350692613</v>
      </c>
      <c r="P7">
        <f>Control!P81</f>
        <v>-95.812298831213397</v>
      </c>
    </row>
    <row r="8" spans="1:17" x14ac:dyDescent="0.35">
      <c r="C8" s="7" t="s">
        <v>40</v>
      </c>
      <c r="D8" s="7"/>
      <c r="E8" s="7">
        <f>SUM(E6:E7)</f>
        <v>143.69999999999996</v>
      </c>
      <c r="F8" s="7">
        <f>SUM(F6:F7)</f>
        <v>178.80000000000004</v>
      </c>
      <c r="G8" s="7">
        <f t="shared" ref="G8:P8" si="3">SUM(G6:G7)</f>
        <v>214.38004000000006</v>
      </c>
      <c r="H8" s="7">
        <f t="shared" si="3"/>
        <v>248.56094424000008</v>
      </c>
      <c r="I8" s="7">
        <f t="shared" si="3"/>
        <v>283.21799188479974</v>
      </c>
      <c r="J8" s="7">
        <f t="shared" si="3"/>
        <v>325.70069066751989</v>
      </c>
      <c r="K8" s="7">
        <f t="shared" si="3"/>
        <v>364.78477354762242</v>
      </c>
      <c r="L8" s="7">
        <f t="shared" si="3"/>
        <v>401.26325090238458</v>
      </c>
      <c r="M8" s="7">
        <f t="shared" si="3"/>
        <v>433.36431097457535</v>
      </c>
      <c r="N8" s="7">
        <f t="shared" si="3"/>
        <v>459.36616963305016</v>
      </c>
      <c r="O8" s="7">
        <f t="shared" si="3"/>
        <v>473.14715472204142</v>
      </c>
      <c r="P8" s="7">
        <f t="shared" si="3"/>
        <v>487.341569363703</v>
      </c>
    </row>
    <row r="9" spans="1:17" x14ac:dyDescent="0.35">
      <c r="C9" t="s">
        <v>33</v>
      </c>
      <c r="E9">
        <v>-16</v>
      </c>
      <c r="F9">
        <v>-24</v>
      </c>
      <c r="G9">
        <f>Control!G83</f>
        <v>-34.982644620000009</v>
      </c>
      <c r="H9">
        <f>Control!H83</f>
        <v>-43.735577991336008</v>
      </c>
      <c r="I9">
        <f>Control!I83</f>
        <v>-52.647254303400928</v>
      </c>
      <c r="J9">
        <f>Control!J83</f>
        <v>-56.63825583930393</v>
      </c>
      <c r="K9">
        <f>Control!K83</f>
        <v>-60.153733787950387</v>
      </c>
      <c r="L9">
        <f>Control!L83</f>
        <v>-62.559883139468397</v>
      </c>
      <c r="M9">
        <f>Control!M83</f>
        <v>-67.564673790625861</v>
      </c>
      <c r="N9">
        <f>Control!N83</f>
        <v>-71.618554218063451</v>
      </c>
      <c r="O9">
        <f>Control!O83</f>
        <v>-73.767110844605341</v>
      </c>
      <c r="P9">
        <f>Control!P83</f>
        <v>-75.980124169943522</v>
      </c>
    </row>
    <row r="10" spans="1:17" x14ac:dyDescent="0.35">
      <c r="C10" t="s">
        <v>34</v>
      </c>
      <c r="E10">
        <v>0.1</v>
      </c>
      <c r="F10">
        <v>0.9</v>
      </c>
    </row>
    <row r="11" spans="1:17" x14ac:dyDescent="0.35">
      <c r="C11" s="7" t="s">
        <v>36</v>
      </c>
      <c r="D11" s="7"/>
      <c r="E11" s="7">
        <f t="shared" ref="E11:P11" si="4">SUM(E8:E10)</f>
        <v>127.79999999999995</v>
      </c>
      <c r="F11" s="7">
        <f t="shared" si="4"/>
        <v>155.70000000000005</v>
      </c>
      <c r="G11" s="7">
        <f t="shared" si="4"/>
        <v>179.39739538000006</v>
      </c>
      <c r="H11" s="7">
        <f t="shared" si="4"/>
        <v>204.82536624866407</v>
      </c>
      <c r="I11" s="7">
        <f t="shared" si="4"/>
        <v>230.57073758139882</v>
      </c>
      <c r="J11" s="7">
        <f t="shared" si="4"/>
        <v>269.06243482821594</v>
      </c>
      <c r="K11" s="7">
        <f t="shared" si="4"/>
        <v>304.63103975967203</v>
      </c>
      <c r="L11" s="7">
        <f t="shared" si="4"/>
        <v>338.70336776291617</v>
      </c>
      <c r="M11" s="7">
        <f t="shared" si="4"/>
        <v>365.79963718394947</v>
      </c>
      <c r="N11" s="7">
        <f t="shared" si="4"/>
        <v>387.74761541498674</v>
      </c>
      <c r="O11" s="7">
        <f t="shared" si="4"/>
        <v>399.38004387743609</v>
      </c>
      <c r="P11" s="7">
        <f t="shared" si="4"/>
        <v>411.36144519375949</v>
      </c>
    </row>
    <row r="12" spans="1:17" x14ac:dyDescent="0.35">
      <c r="C12" t="s">
        <v>37</v>
      </c>
      <c r="E12">
        <f>-25.2-E36</f>
        <v>-25.535999999999998</v>
      </c>
      <c r="F12">
        <f>-33-F36</f>
        <v>-33.189</v>
      </c>
      <c r="G12">
        <f>Control!G84</f>
        <v>-46.643322798800021</v>
      </c>
      <c r="H12">
        <f>Control!H84</f>
        <v>-53.254595224652661</v>
      </c>
      <c r="I12">
        <f>Control!I84</f>
        <v>-59.948391771163692</v>
      </c>
      <c r="J12">
        <f>Control!J84</f>
        <v>-69.956233055336142</v>
      </c>
      <c r="K12">
        <f>Control!K84</f>
        <v>-79.204070337514736</v>
      </c>
      <c r="L12">
        <f>Control!L84</f>
        <v>-88.062875618358206</v>
      </c>
      <c r="M12">
        <f>Control!M84</f>
        <v>-95.10790566782687</v>
      </c>
      <c r="N12">
        <f>Control!N84</f>
        <v>-100.81438000789656</v>
      </c>
      <c r="O12">
        <f>Control!O84</f>
        <v>-103.83881140813338</v>
      </c>
      <c r="P12">
        <f>Control!P84</f>
        <v>-106.95397575037747</v>
      </c>
    </row>
    <row r="13" spans="1:17" x14ac:dyDescent="0.35">
      <c r="C13" t="s">
        <v>43</v>
      </c>
      <c r="E13">
        <f>E37</f>
        <v>-1.264</v>
      </c>
      <c r="F13">
        <f>F37</f>
        <v>-0.71100000000000008</v>
      </c>
    </row>
    <row r="14" spans="1:17" ht="15" thickBot="1" x14ac:dyDescent="0.4">
      <c r="C14" s="13" t="s">
        <v>38</v>
      </c>
      <c r="D14" s="13"/>
      <c r="E14" s="13">
        <f>SUM(E11:E13)</f>
        <v>100.99999999999996</v>
      </c>
      <c r="F14" s="13">
        <f>SUM(F11:F13)</f>
        <v>121.80000000000005</v>
      </c>
      <c r="G14" s="13">
        <f t="shared" ref="G14:P14" si="5">SUM(G11:G13)</f>
        <v>132.75407258120003</v>
      </c>
      <c r="H14" s="13">
        <f t="shared" si="5"/>
        <v>151.57077102401141</v>
      </c>
      <c r="I14" s="13">
        <f t="shared" si="5"/>
        <v>170.62234581023512</v>
      </c>
      <c r="J14" s="13">
        <f t="shared" si="5"/>
        <v>199.10620177287979</v>
      </c>
      <c r="K14" s="13">
        <f t="shared" si="5"/>
        <v>225.4269694221573</v>
      </c>
      <c r="L14" s="13">
        <f t="shared" si="5"/>
        <v>250.64049214455798</v>
      </c>
      <c r="M14" s="13">
        <f t="shared" si="5"/>
        <v>270.69173151612262</v>
      </c>
      <c r="N14" s="13">
        <f t="shared" si="5"/>
        <v>286.93323540709019</v>
      </c>
      <c r="O14" s="13">
        <f t="shared" si="5"/>
        <v>295.54123246930271</v>
      </c>
      <c r="P14" s="13">
        <f t="shared" si="5"/>
        <v>304.40746944338201</v>
      </c>
    </row>
    <row r="15" spans="1:17" ht="15" thickTop="1" x14ac:dyDescent="0.35">
      <c r="C15" t="s">
        <v>41</v>
      </c>
      <c r="E15" s="16">
        <v>101</v>
      </c>
      <c r="F15" s="16">
        <v>121.8</v>
      </c>
    </row>
    <row r="16" spans="1:17" x14ac:dyDescent="0.35">
      <c r="C16" t="s">
        <v>42</v>
      </c>
      <c r="E16">
        <f>ROUND(ABS(E14-E15),4)</f>
        <v>0</v>
      </c>
      <c r="F16">
        <f>ROUND(ABS(F14-F15),4)</f>
        <v>0</v>
      </c>
    </row>
    <row r="17" spans="2:16" x14ac:dyDescent="0.35">
      <c r="B17" s="15" t="s">
        <v>55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x14ac:dyDescent="0.35">
      <c r="C18" t="s">
        <v>49</v>
      </c>
      <c r="E18" s="16">
        <v>250.3</v>
      </c>
      <c r="F18">
        <f>E24</f>
        <v>361.29999999999995</v>
      </c>
      <c r="G18">
        <f t="shared" ref="G18:P18" si="6">F24</f>
        <v>469.3</v>
      </c>
      <c r="H18">
        <f t="shared" si="6"/>
        <v>602.05407258119999</v>
      </c>
      <c r="I18">
        <f t="shared" si="6"/>
        <v>753.62484360521137</v>
      </c>
      <c r="J18">
        <f t="shared" si="6"/>
        <v>924.24718941544643</v>
      </c>
      <c r="K18">
        <f t="shared" si="6"/>
        <v>1123.3533911883262</v>
      </c>
      <c r="L18">
        <f t="shared" si="6"/>
        <v>1348.7803606104835</v>
      </c>
      <c r="M18">
        <f t="shared" si="6"/>
        <v>1599.4208527550416</v>
      </c>
      <c r="N18">
        <f t="shared" si="6"/>
        <v>1870.1125842711642</v>
      </c>
      <c r="O18">
        <f t="shared" si="6"/>
        <v>2157.0458196782542</v>
      </c>
      <c r="P18">
        <f t="shared" si="6"/>
        <v>2452.5870521475572</v>
      </c>
    </row>
    <row r="19" spans="2:16" x14ac:dyDescent="0.35">
      <c r="C19" t="str">
        <f>C14</f>
        <v>Profit for the financial period</v>
      </c>
      <c r="E19">
        <f t="shared" ref="E19:P19" si="7">E14</f>
        <v>100.99999999999996</v>
      </c>
      <c r="F19">
        <f t="shared" si="7"/>
        <v>121.80000000000005</v>
      </c>
      <c r="G19">
        <f t="shared" si="7"/>
        <v>132.75407258120003</v>
      </c>
      <c r="H19">
        <f t="shared" si="7"/>
        <v>151.57077102401141</v>
      </c>
      <c r="I19">
        <f t="shared" si="7"/>
        <v>170.62234581023512</v>
      </c>
      <c r="J19">
        <f t="shared" si="7"/>
        <v>199.10620177287979</v>
      </c>
      <c r="K19">
        <f t="shared" si="7"/>
        <v>225.4269694221573</v>
      </c>
      <c r="L19">
        <f t="shared" si="7"/>
        <v>250.64049214455798</v>
      </c>
      <c r="M19">
        <f t="shared" si="7"/>
        <v>270.69173151612262</v>
      </c>
      <c r="N19">
        <f t="shared" si="7"/>
        <v>286.93323540709019</v>
      </c>
      <c r="O19">
        <f t="shared" si="7"/>
        <v>295.54123246930271</v>
      </c>
      <c r="P19">
        <f t="shared" si="7"/>
        <v>304.40746944338201</v>
      </c>
    </row>
    <row r="20" spans="2:16" x14ac:dyDescent="0.35">
      <c r="C20" t="s">
        <v>53</v>
      </c>
      <c r="E20" s="19">
        <f>9.8+1.2</f>
        <v>11</v>
      </c>
      <c r="F20" s="19">
        <v>-2.8</v>
      </c>
    </row>
    <row r="21" spans="2:16" x14ac:dyDescent="0.35">
      <c r="C21" s="7" t="s">
        <v>54</v>
      </c>
      <c r="D21" s="7"/>
      <c r="E21" s="7">
        <f>SUM(E19:E20)</f>
        <v>111.99999999999996</v>
      </c>
      <c r="F21" s="7">
        <f t="shared" ref="F21:P21" si="8">SUM(F19:F20)</f>
        <v>119.00000000000006</v>
      </c>
      <c r="G21" s="7">
        <f t="shared" si="8"/>
        <v>132.75407258120003</v>
      </c>
      <c r="H21" s="7">
        <f t="shared" si="8"/>
        <v>151.57077102401141</v>
      </c>
      <c r="I21" s="7">
        <f t="shared" si="8"/>
        <v>170.62234581023512</v>
      </c>
      <c r="J21" s="7">
        <f t="shared" si="8"/>
        <v>199.10620177287979</v>
      </c>
      <c r="K21" s="7">
        <f t="shared" si="8"/>
        <v>225.4269694221573</v>
      </c>
      <c r="L21" s="7">
        <f t="shared" si="8"/>
        <v>250.64049214455798</v>
      </c>
      <c r="M21" s="7">
        <f t="shared" si="8"/>
        <v>270.69173151612262</v>
      </c>
      <c r="N21" s="7">
        <f t="shared" si="8"/>
        <v>286.93323540709019</v>
      </c>
      <c r="O21" s="7">
        <f t="shared" si="8"/>
        <v>295.54123246930271</v>
      </c>
      <c r="P21" s="7">
        <f t="shared" si="8"/>
        <v>304.40746944338201</v>
      </c>
    </row>
    <row r="22" spans="2:16" x14ac:dyDescent="0.35">
      <c r="C22" t="s">
        <v>50</v>
      </c>
      <c r="E22" s="16">
        <v>0</v>
      </c>
      <c r="F22" s="16">
        <v>0</v>
      </c>
    </row>
    <row r="23" spans="2:16" x14ac:dyDescent="0.35">
      <c r="C23" t="s">
        <v>52</v>
      </c>
      <c r="E23" s="16">
        <f>-6.7+3.2-1.1+3.6</f>
        <v>-0.99999999999999956</v>
      </c>
      <c r="F23" s="16">
        <f>-14.5+3.5-0.5+0.5</f>
        <v>-11</v>
      </c>
    </row>
    <row r="24" spans="2:16" ht="15" thickBot="1" x14ac:dyDescent="0.4">
      <c r="C24" s="13" t="s">
        <v>51</v>
      </c>
      <c r="D24" s="13"/>
      <c r="E24" s="13">
        <f>E18+SUM(E21:E23)</f>
        <v>361.29999999999995</v>
      </c>
      <c r="F24" s="13">
        <f t="shared" ref="F24:P24" si="9">F18+SUM(F21:F23)</f>
        <v>469.3</v>
      </c>
      <c r="G24" s="13">
        <f t="shared" si="9"/>
        <v>602.05407258119999</v>
      </c>
      <c r="H24" s="13">
        <f t="shared" si="9"/>
        <v>753.62484360521137</v>
      </c>
      <c r="I24" s="13">
        <f t="shared" si="9"/>
        <v>924.24718941544643</v>
      </c>
      <c r="J24" s="13">
        <f t="shared" si="9"/>
        <v>1123.3533911883262</v>
      </c>
      <c r="K24" s="13">
        <f t="shared" si="9"/>
        <v>1348.7803606104835</v>
      </c>
      <c r="L24" s="13">
        <f t="shared" si="9"/>
        <v>1599.4208527550416</v>
      </c>
      <c r="M24" s="13">
        <f t="shared" si="9"/>
        <v>1870.1125842711642</v>
      </c>
      <c r="N24" s="13">
        <f t="shared" si="9"/>
        <v>2157.0458196782542</v>
      </c>
      <c r="O24" s="13">
        <f t="shared" si="9"/>
        <v>2452.5870521475572</v>
      </c>
      <c r="P24" s="13">
        <f t="shared" si="9"/>
        <v>2756.9945215909393</v>
      </c>
    </row>
    <row r="25" spans="2:16" ht="15" thickTop="1" x14ac:dyDescent="0.35">
      <c r="C25" t="s">
        <v>41</v>
      </c>
      <c r="E25" s="16">
        <v>361.3</v>
      </c>
      <c r="F25" s="16">
        <v>469.3</v>
      </c>
    </row>
    <row r="26" spans="2:16" x14ac:dyDescent="0.35">
      <c r="C26" t="s">
        <v>42</v>
      </c>
      <c r="E26">
        <f>ROUND(ABS(E24-E25),4)</f>
        <v>0</v>
      </c>
      <c r="F26">
        <f>ROUND(ABS(F24-F25),4)</f>
        <v>0</v>
      </c>
    </row>
    <row r="29" spans="2:16" x14ac:dyDescent="0.35">
      <c r="B29" t="s">
        <v>48</v>
      </c>
    </row>
    <row r="30" spans="2:16" x14ac:dyDescent="0.35">
      <c r="B30" t="s">
        <v>43</v>
      </c>
    </row>
    <row r="31" spans="2:16" x14ac:dyDescent="0.35">
      <c r="C31" t="s">
        <v>31</v>
      </c>
      <c r="E31">
        <v>-2</v>
      </c>
      <c r="F31">
        <v>-0.9</v>
      </c>
    </row>
    <row r="32" spans="2:16" x14ac:dyDescent="0.35">
      <c r="C32" t="s">
        <v>32</v>
      </c>
      <c r="E32">
        <v>0.4</v>
      </c>
      <c r="F32">
        <v>0.7</v>
      </c>
    </row>
    <row r="33" spans="3:6" x14ac:dyDescent="0.35">
      <c r="C33" t="s">
        <v>35</v>
      </c>
      <c r="E33">
        <v>0</v>
      </c>
      <c r="F33">
        <v>-0.7</v>
      </c>
    </row>
    <row r="34" spans="3:6" x14ac:dyDescent="0.35">
      <c r="C34" s="7" t="s">
        <v>44</v>
      </c>
      <c r="D34" s="7"/>
      <c r="E34" s="7">
        <f>SUM(E31:E33)</f>
        <v>-1.6</v>
      </c>
      <c r="F34" s="7">
        <f>SUM(F31:F33)</f>
        <v>-0.9</v>
      </c>
    </row>
    <row r="35" spans="3:6" x14ac:dyDescent="0.35">
      <c r="C35" t="s">
        <v>14</v>
      </c>
      <c r="E35" s="6">
        <f>TaxRate</f>
        <v>0.21</v>
      </c>
      <c r="F35" s="6">
        <f>TaxRate</f>
        <v>0.21</v>
      </c>
    </row>
    <row r="36" spans="3:6" x14ac:dyDescent="0.35">
      <c r="C36" t="s">
        <v>46</v>
      </c>
      <c r="E36">
        <f>E34*-E35</f>
        <v>0.33600000000000002</v>
      </c>
      <c r="F36">
        <f>F34*-F35</f>
        <v>0.189</v>
      </c>
    </row>
    <row r="37" spans="3:6" x14ac:dyDescent="0.35">
      <c r="C37" s="7" t="s">
        <v>47</v>
      </c>
      <c r="D37" s="7"/>
      <c r="E37" s="7">
        <f>E34+E36</f>
        <v>-1.264</v>
      </c>
      <c r="F37" s="7">
        <f>F34+F36</f>
        <v>-0.71100000000000008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0FFC-5A9A-4D57-B4EF-93853D871C01}">
  <sheetPr codeName="Sheet4"/>
  <dimension ref="A1:Y74"/>
  <sheetViews>
    <sheetView showGridLines="0" zoomScale="125" zoomScaleNormal="125" workbookViewId="0"/>
  </sheetViews>
  <sheetFormatPr defaultColWidth="0" defaultRowHeight="14.4" x14ac:dyDescent="0.35"/>
  <cols>
    <col min="1" max="2" width="1.77734375" customWidth="1"/>
    <col min="3" max="3" width="30.77734375" customWidth="1"/>
    <col min="4" max="4" width="0.88671875" customWidth="1"/>
    <col min="5" max="16" width="8.88671875" customWidth="1"/>
    <col min="17" max="17" width="1.77734375" customWidth="1"/>
    <col min="18" max="25" width="8.88671875" customWidth="1"/>
    <col min="26" max="16384" width="8.88671875" hidden="1"/>
  </cols>
  <sheetData>
    <row r="1" spans="1:17" x14ac:dyDescent="0.35">
      <c r="A1" s="15" t="str">
        <f>"Cash flow statement for "&amp;CoName</f>
        <v>Cash flow statement for Watches of Switzerland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A2" t="str">
        <f>IS!$A$2</f>
        <v>All diagnostics passed</v>
      </c>
      <c r="E2">
        <f>IS!E2</f>
        <v>-1</v>
      </c>
      <c r="F2">
        <f>IS!F2</f>
        <v>0</v>
      </c>
      <c r="G2">
        <f>IS!G2</f>
        <v>1</v>
      </c>
      <c r="H2">
        <f>IS!H2</f>
        <v>2</v>
      </c>
      <c r="I2">
        <f>IS!I2</f>
        <v>3</v>
      </c>
      <c r="J2">
        <f>IS!J2</f>
        <v>4</v>
      </c>
      <c r="K2">
        <f>IS!K2</f>
        <v>5</v>
      </c>
      <c r="L2">
        <f>IS!L2</f>
        <v>6</v>
      </c>
      <c r="M2">
        <f>IS!M2</f>
        <v>7</v>
      </c>
      <c r="N2">
        <f>IS!N2</f>
        <v>8</v>
      </c>
      <c r="O2">
        <f>IS!O2</f>
        <v>9</v>
      </c>
      <c r="P2">
        <f>IS!P2</f>
        <v>10</v>
      </c>
    </row>
    <row r="3" spans="1:17" ht="16.2" x14ac:dyDescent="0.5">
      <c r="E3" s="14">
        <f>IS!E3</f>
        <v>44926</v>
      </c>
      <c r="F3" s="14">
        <f>IS!F3</f>
        <v>45291</v>
      </c>
      <c r="G3" s="14">
        <f>IS!G3</f>
        <v>45657</v>
      </c>
      <c r="H3" s="14">
        <f>IS!H3</f>
        <v>46022</v>
      </c>
      <c r="I3" s="14">
        <f>IS!I3</f>
        <v>46387</v>
      </c>
      <c r="J3" s="14">
        <f>IS!J3</f>
        <v>46752</v>
      </c>
      <c r="K3" s="14">
        <f>IS!K3</f>
        <v>47118</v>
      </c>
      <c r="L3" s="14">
        <f>IS!L3</f>
        <v>47483</v>
      </c>
      <c r="M3" s="14">
        <f>IS!M3</f>
        <v>47848</v>
      </c>
      <c r="N3" s="14">
        <f>IS!N3</f>
        <v>48213</v>
      </c>
      <c r="O3" s="14">
        <f>IS!O3</f>
        <v>48579</v>
      </c>
      <c r="P3" s="14">
        <f>IS!P3</f>
        <v>48944</v>
      </c>
    </row>
    <row r="4" spans="1:17" x14ac:dyDescent="0.35">
      <c r="B4" t="str">
        <f>IS!C14</f>
        <v>Profit for the financial period</v>
      </c>
      <c r="E4">
        <f>IS!E14</f>
        <v>100.99999999999996</v>
      </c>
      <c r="F4">
        <f>IS!F14</f>
        <v>121.80000000000005</v>
      </c>
      <c r="G4">
        <f>IS!G14</f>
        <v>132.75407258120003</v>
      </c>
      <c r="H4">
        <f>IS!H14</f>
        <v>151.57077102401141</v>
      </c>
      <c r="I4">
        <f>IS!I14</f>
        <v>170.62234581023512</v>
      </c>
      <c r="J4">
        <f>IS!J14</f>
        <v>199.10620177287979</v>
      </c>
      <c r="K4">
        <f>IS!K14</f>
        <v>225.4269694221573</v>
      </c>
      <c r="L4">
        <f>IS!L14</f>
        <v>250.64049214455798</v>
      </c>
      <c r="M4">
        <f>IS!M14</f>
        <v>270.69173151612262</v>
      </c>
      <c r="N4">
        <f>IS!N14</f>
        <v>286.93323540709019</v>
      </c>
      <c r="O4">
        <f>IS!O14</f>
        <v>295.54123246930271</v>
      </c>
      <c r="P4">
        <f>IS!P14</f>
        <v>304.40746944338201</v>
      </c>
    </row>
    <row r="5" spans="1:17" x14ac:dyDescent="0.35">
      <c r="C5" t="s">
        <v>98</v>
      </c>
      <c r="E5">
        <f t="shared" ref="E5:F13" si="0">SUMIF($G$32:$G$73,$C5,E$32:E$73)</f>
        <v>68.2</v>
      </c>
      <c r="F5">
        <f t="shared" si="0"/>
        <v>82.6</v>
      </c>
      <c r="G5">
        <f>Control!G82</f>
        <v>88.5</v>
      </c>
      <c r="H5">
        <f>Control!H82</f>
        <v>104.43</v>
      </c>
      <c r="I5">
        <f>Control!I82</f>
        <v>121.13879999999999</v>
      </c>
      <c r="J5">
        <f>Control!J82</f>
        <v>139.30961999999997</v>
      </c>
      <c r="K5">
        <f>Control!K82</f>
        <v>156.02677439999997</v>
      </c>
      <c r="L5">
        <f>Control!L82</f>
        <v>171.62945184</v>
      </c>
      <c r="M5">
        <f>Control!M82</f>
        <v>185.35980798720001</v>
      </c>
      <c r="N5">
        <f>Control!N82</f>
        <v>196.48139646643202</v>
      </c>
      <c r="O5">
        <f>Control!O82</f>
        <v>202.37583836042498</v>
      </c>
      <c r="P5">
        <f>Control!P82</f>
        <v>208.44711351123775</v>
      </c>
    </row>
    <row r="6" spans="1:17" x14ac:dyDescent="0.35">
      <c r="C6" t="s">
        <v>99</v>
      </c>
      <c r="E6">
        <f t="shared" si="0"/>
        <v>2.5</v>
      </c>
      <c r="F6">
        <f t="shared" si="0"/>
        <v>3.2</v>
      </c>
    </row>
    <row r="7" spans="1:17" x14ac:dyDescent="0.35">
      <c r="C7" t="str">
        <f>C43</f>
        <v>Share-based payment charge</v>
      </c>
      <c r="E7">
        <f t="shared" si="0"/>
        <v>3.2</v>
      </c>
      <c r="F7">
        <f t="shared" si="0"/>
        <v>3.5</v>
      </c>
    </row>
    <row r="8" spans="1:17" x14ac:dyDescent="0.35">
      <c r="C8" t="str">
        <f>C45</f>
        <v>Finance costs</v>
      </c>
      <c r="E8">
        <f t="shared" si="0"/>
        <v>16</v>
      </c>
      <c r="F8">
        <f t="shared" si="0"/>
        <v>24</v>
      </c>
      <c r="G8">
        <f>-Control!G83</f>
        <v>34.982644620000009</v>
      </c>
      <c r="H8">
        <f>-Control!H83</f>
        <v>43.735577991336008</v>
      </c>
      <c r="I8">
        <f>-Control!I83</f>
        <v>52.647254303400928</v>
      </c>
      <c r="J8">
        <f>-Control!J83</f>
        <v>56.63825583930393</v>
      </c>
      <c r="K8">
        <f>-Control!K83</f>
        <v>60.153733787950387</v>
      </c>
      <c r="L8">
        <f>-Control!L83</f>
        <v>62.559883139468397</v>
      </c>
      <c r="M8">
        <f>-Control!M83</f>
        <v>67.564673790625861</v>
      </c>
      <c r="N8">
        <f>-Control!N83</f>
        <v>71.618554218063451</v>
      </c>
      <c r="O8">
        <f>-Control!O83</f>
        <v>73.767110844605341</v>
      </c>
      <c r="P8">
        <f>-Control!P83</f>
        <v>75.980124169943522</v>
      </c>
    </row>
    <row r="9" spans="1:17" x14ac:dyDescent="0.35">
      <c r="C9" t="str">
        <f>C47</f>
        <v>Taxation</v>
      </c>
      <c r="E9">
        <f t="shared" si="0"/>
        <v>25.2</v>
      </c>
      <c r="F9">
        <f t="shared" si="0"/>
        <v>33</v>
      </c>
      <c r="G9">
        <f>-Control!G84</f>
        <v>46.643322798800021</v>
      </c>
      <c r="H9">
        <f>-Control!H84</f>
        <v>53.254595224652661</v>
      </c>
      <c r="I9">
        <f>-Control!I84</f>
        <v>59.948391771163692</v>
      </c>
      <c r="J9">
        <f>-Control!J84</f>
        <v>69.956233055336142</v>
      </c>
      <c r="K9">
        <f>-Control!K84</f>
        <v>79.204070337514736</v>
      </c>
      <c r="L9">
        <f>-Control!L84</f>
        <v>88.062875618358206</v>
      </c>
      <c r="M9">
        <f>-Control!M84</f>
        <v>95.10790566782687</v>
      </c>
      <c r="N9">
        <f>-Control!N84</f>
        <v>100.81438000789656</v>
      </c>
      <c r="O9">
        <f>-Control!O84</f>
        <v>103.83881140813338</v>
      </c>
      <c r="P9">
        <f>-Control!P84</f>
        <v>106.95397575037747</v>
      </c>
    </row>
    <row r="10" spans="1:17" x14ac:dyDescent="0.35">
      <c r="C10" t="s">
        <v>52</v>
      </c>
      <c r="E10">
        <f t="shared" si="0"/>
        <v>-0.6</v>
      </c>
      <c r="F10">
        <f t="shared" si="0"/>
        <v>-1.7000000000000002</v>
      </c>
    </row>
    <row r="11" spans="1:17" x14ac:dyDescent="0.35">
      <c r="C11" t="str">
        <f>C48</f>
        <v>Increase in inventory</v>
      </c>
      <c r="E11">
        <f t="shared" si="0"/>
        <v>-50.6</v>
      </c>
      <c r="F11">
        <f t="shared" si="0"/>
        <v>-51.5</v>
      </c>
      <c r="G11">
        <f>Control!G92</f>
        <v>-64.93913196888451</v>
      </c>
      <c r="H11">
        <f>Control!H92</f>
        <v>-76.924179046778931</v>
      </c>
      <c r="I11">
        <f>Control!I92</f>
        <v>-80.998086701666637</v>
      </c>
      <c r="J11">
        <f>Control!J92</f>
        <v>-99.483171487798472</v>
      </c>
      <c r="K11">
        <f>Control!K92</f>
        <v>-96.596266654810393</v>
      </c>
      <c r="L11">
        <f>Control!L92</f>
        <v>-110.92290395642283</v>
      </c>
      <c r="M11">
        <f>Control!M92</f>
        <v>-88.920662185340575</v>
      </c>
      <c r="N11">
        <f>Control!N92</f>
        <v>-77.621720900135415</v>
      </c>
      <c r="O11">
        <f>Control!O92</f>
        <v>-51.280880170489809</v>
      </c>
      <c r="P11">
        <f>Control!P92</f>
        <v>-33.110610092169509</v>
      </c>
    </row>
    <row r="12" spans="1:17" x14ac:dyDescent="0.35">
      <c r="C12" t="str">
        <f>C49</f>
        <v>Decrease/(increase) in debtors</v>
      </c>
      <c r="E12">
        <f t="shared" si="0"/>
        <v>-6.4</v>
      </c>
      <c r="F12">
        <f t="shared" si="0"/>
        <v>1.5</v>
      </c>
      <c r="G12" s="43">
        <f>-Control!G93</f>
        <v>3.1859999999999999</v>
      </c>
      <c r="H12" s="43">
        <f>-Control!H93</f>
        <v>3.7594800000000035</v>
      </c>
      <c r="I12" s="43">
        <f>-Control!I93</f>
        <v>3.943276799999996</v>
      </c>
      <c r="J12" s="43">
        <f>-Control!J93</f>
        <v>4.2883135199999955</v>
      </c>
      <c r="K12" s="43">
        <f>-Control!K93</f>
        <v>3.9452484384000002</v>
      </c>
      <c r="L12" s="43">
        <f>-Control!L93</f>
        <v>3.682231875840003</v>
      </c>
      <c r="M12" s="43">
        <f>-Control!M93</f>
        <v>3.2403640507392026</v>
      </c>
      <c r="N12" s="43">
        <f>-Control!N93</f>
        <v>2.6246948810987547</v>
      </c>
      <c r="O12" s="43">
        <f>-Control!O93</f>
        <v>1.3910882869823453</v>
      </c>
      <c r="P12" s="43">
        <f>-Control!P93</f>
        <v>1.4328209355918133</v>
      </c>
    </row>
    <row r="13" spans="1:17" x14ac:dyDescent="0.35">
      <c r="C13" t="str">
        <f>C50</f>
        <v>Increase in creditors, provisions and pensions</v>
      </c>
      <c r="E13">
        <f t="shared" si="0"/>
        <v>27.4</v>
      </c>
      <c r="F13">
        <f t="shared" si="0"/>
        <v>22.1</v>
      </c>
      <c r="G13">
        <f>Control!G94</f>
        <v>40.057958933615254</v>
      </c>
      <c r="H13">
        <f>Control!H94</f>
        <v>47.450982355822077</v>
      </c>
      <c r="I13">
        <f>Control!I94</f>
        <v>49.963988313724656</v>
      </c>
      <c r="J13">
        <f>Control!J94</f>
        <v>53.560939440474272</v>
      </c>
      <c r="K13">
        <f>Control!K94</f>
        <v>49.276064285236316</v>
      </c>
      <c r="L13">
        <f>Control!L94</f>
        <v>45.990993332887399</v>
      </c>
      <c r="M13">
        <f>Control!M94</f>
        <v>40.472074132940861</v>
      </c>
      <c r="N13">
        <f>Control!N94</f>
        <v>32.782380047681954</v>
      </c>
      <c r="O13">
        <f>Control!O94</f>
        <v>17.374661425271597</v>
      </c>
      <c r="P13">
        <f>Control!P94</f>
        <v>17.895901268029547</v>
      </c>
    </row>
    <row r="14" spans="1:17" x14ac:dyDescent="0.35">
      <c r="B14" s="7" t="str">
        <f>B51</f>
        <v>Cash generated from operations</v>
      </c>
      <c r="C14" s="7"/>
      <c r="D14" s="7"/>
      <c r="E14" s="7">
        <f t="shared" ref="E14:P14" si="1">SUM(E4:E13)</f>
        <v>185.89999999999995</v>
      </c>
      <c r="F14" s="7">
        <f t="shared" si="1"/>
        <v>238.50000000000003</v>
      </c>
      <c r="G14" s="7">
        <f t="shared" si="1"/>
        <v>281.18486696473082</v>
      </c>
      <c r="H14" s="7">
        <f t="shared" si="1"/>
        <v>327.27722754904323</v>
      </c>
      <c r="I14" s="7">
        <f t="shared" si="1"/>
        <v>377.26597029685774</v>
      </c>
      <c r="J14" s="7">
        <f t="shared" si="1"/>
        <v>423.37639214019566</v>
      </c>
      <c r="K14" s="7">
        <f t="shared" si="1"/>
        <v>477.43659401644823</v>
      </c>
      <c r="L14" s="7">
        <f t="shared" si="1"/>
        <v>511.64302399468914</v>
      </c>
      <c r="M14" s="7">
        <f t="shared" si="1"/>
        <v>573.51589496011491</v>
      </c>
      <c r="N14" s="7">
        <f t="shared" si="1"/>
        <v>613.63292012812758</v>
      </c>
      <c r="O14" s="7">
        <f t="shared" si="1"/>
        <v>643.0078626242306</v>
      </c>
      <c r="P14" s="7">
        <f t="shared" si="1"/>
        <v>682.00679498639272</v>
      </c>
    </row>
    <row r="15" spans="1:17" x14ac:dyDescent="0.35">
      <c r="C15" t="s">
        <v>100</v>
      </c>
      <c r="E15">
        <f>SUMIF($G$32:$G$73,$C15,E$32:E$73)</f>
        <v>-14.899999999999999</v>
      </c>
      <c r="F15">
        <f>SUMIF($G$32:$G$73,$C15,F$32:F$73)</f>
        <v>-21.9</v>
      </c>
      <c r="G15">
        <f>Control!G83</f>
        <v>-34.982644620000009</v>
      </c>
      <c r="H15">
        <f>Control!H83</f>
        <v>-43.735577991336008</v>
      </c>
      <c r="I15">
        <f>Control!I83</f>
        <v>-52.647254303400928</v>
      </c>
      <c r="J15">
        <f>Control!J83</f>
        <v>-56.63825583930393</v>
      </c>
      <c r="K15">
        <f>Control!K83</f>
        <v>-60.153733787950387</v>
      </c>
      <c r="L15">
        <f>Control!L83</f>
        <v>-62.559883139468397</v>
      </c>
      <c r="M15">
        <f>Control!M83</f>
        <v>-67.564673790625861</v>
      </c>
      <c r="N15">
        <f>Control!N83</f>
        <v>-71.618554218063451</v>
      </c>
      <c r="O15">
        <f>Control!O83</f>
        <v>-73.767110844605341</v>
      </c>
      <c r="P15">
        <f>Control!P83</f>
        <v>-75.980124169943522</v>
      </c>
    </row>
    <row r="16" spans="1:17" x14ac:dyDescent="0.35">
      <c r="C16" t="str">
        <f>C53</f>
        <v>Tax paid</v>
      </c>
      <c r="E16">
        <f>SUMIF($G$32:$G$73,$C16,E$32:E$73)</f>
        <v>-15.6</v>
      </c>
      <c r="F16">
        <f>SUMIF($G$32:$G$73,$C16,F$32:F$73)</f>
        <v>-26.6</v>
      </c>
      <c r="G16">
        <f>IS!G12</f>
        <v>-46.643322798800021</v>
      </c>
      <c r="H16">
        <f>IS!H12</f>
        <v>-53.254595224652661</v>
      </c>
      <c r="I16">
        <f>IS!I12</f>
        <v>-59.948391771163692</v>
      </c>
      <c r="J16">
        <f>IS!J12</f>
        <v>-69.956233055336142</v>
      </c>
      <c r="K16">
        <f>IS!K12</f>
        <v>-79.204070337514736</v>
      </c>
      <c r="L16">
        <f>IS!L12</f>
        <v>-88.062875618358206</v>
      </c>
      <c r="M16">
        <f>IS!M12</f>
        <v>-95.10790566782687</v>
      </c>
      <c r="N16">
        <f>IS!N12</f>
        <v>-100.81438000789656</v>
      </c>
      <c r="O16">
        <f>IS!O12</f>
        <v>-103.83881140813338</v>
      </c>
      <c r="P16">
        <f>IS!P12</f>
        <v>-106.95397575037747</v>
      </c>
    </row>
    <row r="17" spans="1:16" x14ac:dyDescent="0.35">
      <c r="B17" s="7" t="str">
        <f>B54</f>
        <v>Total net cash generated from operating activities</v>
      </c>
      <c r="C17" s="7"/>
      <c r="D17" s="7"/>
      <c r="E17" s="7">
        <f>SUM(E14:E16)</f>
        <v>155.39999999999995</v>
      </c>
      <c r="F17" s="7">
        <f t="shared" ref="F17" si="2">SUM(F14:F16)</f>
        <v>190.00000000000003</v>
      </c>
      <c r="G17" s="43">
        <f>SUM(G14:G15)</f>
        <v>246.20222234473081</v>
      </c>
      <c r="H17" s="43">
        <f t="shared" ref="H17:P17" si="3">SUM(H14:H15)</f>
        <v>283.54164955770722</v>
      </c>
      <c r="I17" s="43">
        <f t="shared" si="3"/>
        <v>324.61871599345682</v>
      </c>
      <c r="J17" s="43">
        <f t="shared" si="3"/>
        <v>366.73813630089171</v>
      </c>
      <c r="K17" s="43">
        <f t="shared" si="3"/>
        <v>417.28286022849784</v>
      </c>
      <c r="L17" s="43">
        <f t="shared" si="3"/>
        <v>449.08314085522073</v>
      </c>
      <c r="M17" s="43">
        <f t="shared" si="3"/>
        <v>505.95122116948903</v>
      </c>
      <c r="N17" s="43">
        <f t="shared" si="3"/>
        <v>542.01436591006416</v>
      </c>
      <c r="O17" s="43">
        <f t="shared" si="3"/>
        <v>569.24075177962527</v>
      </c>
      <c r="P17" s="43">
        <f t="shared" si="3"/>
        <v>606.02667081644915</v>
      </c>
    </row>
    <row r="18" spans="1:16" x14ac:dyDescent="0.35">
      <c r="C18" t="str">
        <f>$C$57</f>
        <v>Property, plant and equipment additions</v>
      </c>
      <c r="E18">
        <f>SUMIF($G$32:$G$73,$C18,E$32:E$73)</f>
        <v>-41</v>
      </c>
      <c r="F18">
        <f>SUMIF($G$32:$G$73,$C18,F$32:F$73)</f>
        <v>-75</v>
      </c>
      <c r="G18">
        <f>Control!G95</f>
        <v>-88.5</v>
      </c>
      <c r="H18">
        <f>Control!H95</f>
        <v>-104.43</v>
      </c>
      <c r="I18">
        <f>Control!I95</f>
        <v>-121.13879999999999</v>
      </c>
      <c r="J18">
        <f>Control!J95</f>
        <v>-139.30961999999997</v>
      </c>
      <c r="K18">
        <f>Control!K95</f>
        <v>-156.02677439999997</v>
      </c>
      <c r="L18">
        <f>Control!L95</f>
        <v>-171.62945184</v>
      </c>
      <c r="M18">
        <f>Control!M95</f>
        <v>-185.35980798720001</v>
      </c>
      <c r="N18">
        <f>Control!N95</f>
        <v>-196.48139646643202</v>
      </c>
      <c r="O18">
        <f>Control!O95</f>
        <v>-202.37583836042498</v>
      </c>
      <c r="P18">
        <f>Control!P95</f>
        <v>-208.44711351123775</v>
      </c>
    </row>
    <row r="19" spans="1:16" x14ac:dyDescent="0.35">
      <c r="C19" t="s">
        <v>95</v>
      </c>
      <c r="E19">
        <f>SUMIF($G$32:$G$73,$C19,E$32:E$73)</f>
        <v>-47.1</v>
      </c>
      <c r="F19">
        <f>SUMIF($G$32:$G$73,$C19,F$32:F$73)</f>
        <v>-20.5</v>
      </c>
    </row>
    <row r="20" spans="1:16" x14ac:dyDescent="0.35">
      <c r="B20" s="7" t="str">
        <f>B62</f>
        <v>Total net cash outflow from investing activities</v>
      </c>
      <c r="C20" s="7"/>
      <c r="D20" s="7"/>
      <c r="E20" s="7">
        <f>SUM(E18:E19)</f>
        <v>-88.1</v>
      </c>
      <c r="F20" s="7">
        <f t="shared" ref="F20:P20" si="4">SUM(F18:F19)</f>
        <v>-95.5</v>
      </c>
      <c r="G20" s="7">
        <f t="shared" si="4"/>
        <v>-88.5</v>
      </c>
      <c r="H20" s="7">
        <f t="shared" si="4"/>
        <v>-104.43</v>
      </c>
      <c r="I20" s="7">
        <f t="shared" si="4"/>
        <v>-121.13879999999999</v>
      </c>
      <c r="J20" s="7">
        <f t="shared" si="4"/>
        <v>-139.30961999999997</v>
      </c>
      <c r="K20" s="7">
        <f t="shared" si="4"/>
        <v>-156.02677439999997</v>
      </c>
      <c r="L20" s="7">
        <f t="shared" si="4"/>
        <v>-171.62945184</v>
      </c>
      <c r="M20" s="7">
        <f t="shared" si="4"/>
        <v>-185.35980798720001</v>
      </c>
      <c r="N20" s="7">
        <f t="shared" si="4"/>
        <v>-196.48139646643202</v>
      </c>
      <c r="O20" s="7">
        <f t="shared" si="4"/>
        <v>-202.37583836042498</v>
      </c>
      <c r="P20" s="7">
        <f t="shared" si="4"/>
        <v>-208.44711351123775</v>
      </c>
    </row>
    <row r="21" spans="1:16" x14ac:dyDescent="0.35">
      <c r="C21" t="s">
        <v>166</v>
      </c>
      <c r="E21">
        <f>SUMIF($G$32:$G$73,$C21,E$32:E$73)</f>
        <v>-40.799999999999997</v>
      </c>
      <c r="F21">
        <f>SUMIF($G$32:$G$73,$C21,F$32:F$73)</f>
        <v>-42</v>
      </c>
      <c r="G21">
        <f>Control!G97</f>
        <v>105.64808400000015</v>
      </c>
      <c r="H21">
        <f>Control!H97</f>
        <v>105.23289890400008</v>
      </c>
      <c r="I21">
        <f>Control!I97</f>
        <v>107.86828005407926</v>
      </c>
      <c r="J21">
        <f>Control!J97</f>
        <v>127.37238944371234</v>
      </c>
      <c r="K21">
        <f>Control!K97</f>
        <v>117.18259828821522</v>
      </c>
      <c r="L21">
        <f>Control!L97</f>
        <v>109.3704250690007</v>
      </c>
      <c r="M21">
        <f>Control!M97</f>
        <v>96.245974060720528</v>
      </c>
      <c r="N21">
        <f>Control!N97</f>
        <v>77.959238989184314</v>
      </c>
      <c r="O21">
        <f>Control!O97</f>
        <v>41.318396664267084</v>
      </c>
      <c r="P21">
        <f>Control!P97</f>
        <v>42.55794856419584</v>
      </c>
    </row>
    <row r="22" spans="1:16" x14ac:dyDescent="0.35">
      <c r="C22" t="s">
        <v>96</v>
      </c>
      <c r="E22">
        <f>SUMIF($G$32:$G$73,$C22,E$32:E$73)</f>
        <v>0</v>
      </c>
      <c r="F22">
        <f>SUMIF($G$32:$G$73,$C22,F$32:F$73)</f>
        <v>-21.3</v>
      </c>
    </row>
    <row r="23" spans="1:16" x14ac:dyDescent="0.35">
      <c r="B23" s="7" t="str">
        <f>B69</f>
        <v>Net cash outflow from financing activities</v>
      </c>
      <c r="C23" s="7"/>
      <c r="D23" s="7"/>
      <c r="E23" s="7">
        <f>SUM(E21:E22)</f>
        <v>-40.799999999999997</v>
      </c>
      <c r="F23" s="7">
        <f t="shared" ref="F23:P23" si="5">SUM(F21:F22)</f>
        <v>-63.3</v>
      </c>
      <c r="G23" s="7">
        <f t="shared" si="5"/>
        <v>105.64808400000015</v>
      </c>
      <c r="H23" s="7">
        <f t="shared" si="5"/>
        <v>105.23289890400008</v>
      </c>
      <c r="I23" s="7">
        <f t="shared" si="5"/>
        <v>107.86828005407926</v>
      </c>
      <c r="J23" s="7">
        <f t="shared" si="5"/>
        <v>127.37238944371234</v>
      </c>
      <c r="K23" s="7">
        <f t="shared" si="5"/>
        <v>117.18259828821522</v>
      </c>
      <c r="L23" s="7">
        <f t="shared" si="5"/>
        <v>109.3704250690007</v>
      </c>
      <c r="M23" s="7">
        <f t="shared" si="5"/>
        <v>96.245974060720528</v>
      </c>
      <c r="N23" s="7">
        <f t="shared" si="5"/>
        <v>77.959238989184314</v>
      </c>
      <c r="O23" s="7">
        <f t="shared" si="5"/>
        <v>41.318396664267084</v>
      </c>
      <c r="P23" s="7">
        <f t="shared" si="5"/>
        <v>42.55794856419584</v>
      </c>
    </row>
    <row r="24" spans="1:16" x14ac:dyDescent="0.35">
      <c r="B24" s="7" t="str">
        <f>B70</f>
        <v>Net increase in cash and cash equivalents</v>
      </c>
      <c r="C24" s="7"/>
      <c r="D24" s="7"/>
      <c r="E24" s="7">
        <f>E17+E20+E23</f>
        <v>26.499999999999957</v>
      </c>
      <c r="F24" s="7">
        <f t="shared" ref="F24:P24" si="6">F17+F20+F23</f>
        <v>31.200000000000031</v>
      </c>
      <c r="G24" s="7">
        <f t="shared" si="6"/>
        <v>263.35030634473094</v>
      </c>
      <c r="H24" s="7">
        <f t="shared" si="6"/>
        <v>284.34454846170729</v>
      </c>
      <c r="I24" s="7">
        <f t="shared" si="6"/>
        <v>311.34819604753608</v>
      </c>
      <c r="J24" s="7">
        <f t="shared" si="6"/>
        <v>354.80090574460405</v>
      </c>
      <c r="K24" s="7">
        <f t="shared" si="6"/>
        <v>378.43868411671309</v>
      </c>
      <c r="L24" s="7">
        <f t="shared" si="6"/>
        <v>386.82411408422143</v>
      </c>
      <c r="M24" s="7">
        <f t="shared" si="6"/>
        <v>416.83738724300952</v>
      </c>
      <c r="N24" s="7">
        <f t="shared" si="6"/>
        <v>423.49220843281648</v>
      </c>
      <c r="O24" s="7">
        <f t="shared" si="6"/>
        <v>408.1833100834674</v>
      </c>
      <c r="P24" s="7">
        <f t="shared" si="6"/>
        <v>440.13750586940728</v>
      </c>
    </row>
    <row r="25" spans="1:16" x14ac:dyDescent="0.35">
      <c r="B25" t="str">
        <f>B71</f>
        <v>Cash and cash equivalents at the beginning of the period</v>
      </c>
      <c r="E25">
        <f>E71</f>
        <v>76.099999999999994</v>
      </c>
      <c r="F25">
        <f>E27</f>
        <v>105.89999999999995</v>
      </c>
      <c r="G25">
        <f t="shared" ref="G25:P25" si="7">F27</f>
        <v>136.39999999999998</v>
      </c>
      <c r="H25">
        <f t="shared" si="7"/>
        <v>399.75030634473092</v>
      </c>
      <c r="I25">
        <f t="shared" si="7"/>
        <v>684.09485480643821</v>
      </c>
      <c r="J25">
        <f t="shared" si="7"/>
        <v>995.44305085397423</v>
      </c>
      <c r="K25">
        <f t="shared" si="7"/>
        <v>1350.2439565985783</v>
      </c>
      <c r="L25">
        <f t="shared" si="7"/>
        <v>1728.6826407152914</v>
      </c>
      <c r="M25">
        <f t="shared" si="7"/>
        <v>2115.5067547995127</v>
      </c>
      <c r="N25">
        <f t="shared" si="7"/>
        <v>2532.3441420425224</v>
      </c>
      <c r="O25">
        <f t="shared" si="7"/>
        <v>2955.8363504753388</v>
      </c>
      <c r="P25">
        <f t="shared" si="7"/>
        <v>3364.0196605588062</v>
      </c>
    </row>
    <row r="26" spans="1:16" x14ac:dyDescent="0.35">
      <c r="B26" t="str">
        <f>C72</f>
        <v>Exchange (losses)/gains on cash and cash equivalents</v>
      </c>
      <c r="E26">
        <f>E72</f>
        <v>3.3</v>
      </c>
      <c r="F26">
        <f>F72</f>
        <v>-0.7</v>
      </c>
      <c r="G26">
        <f t="shared" ref="G26:P26" si="8">G72</f>
        <v>0</v>
      </c>
      <c r="H26">
        <f t="shared" si="8"/>
        <v>0</v>
      </c>
      <c r="I26">
        <f t="shared" si="8"/>
        <v>0</v>
      </c>
      <c r="J26">
        <f t="shared" si="8"/>
        <v>0</v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  <c r="O26">
        <f t="shared" si="8"/>
        <v>0</v>
      </c>
      <c r="P26">
        <f t="shared" si="8"/>
        <v>0</v>
      </c>
    </row>
    <row r="27" spans="1:16" ht="15" thickBot="1" x14ac:dyDescent="0.4">
      <c r="B27" s="13" t="str">
        <f>B73</f>
        <v>Cash and cash equivalents at the end of period</v>
      </c>
      <c r="C27" s="13"/>
      <c r="D27" s="13"/>
      <c r="E27" s="13">
        <f>SUM(E24:E26)</f>
        <v>105.89999999999995</v>
      </c>
      <c r="F27" s="13">
        <f>SUM(F24:F26)</f>
        <v>136.39999999999998</v>
      </c>
      <c r="G27" s="13">
        <f t="shared" ref="G27:P27" si="9">SUM(G24:G26)</f>
        <v>399.75030634473092</v>
      </c>
      <c r="H27" s="13">
        <f t="shared" si="9"/>
        <v>684.09485480643821</v>
      </c>
      <c r="I27" s="13">
        <f t="shared" si="9"/>
        <v>995.44305085397423</v>
      </c>
      <c r="J27" s="13">
        <f t="shared" si="9"/>
        <v>1350.2439565985783</v>
      </c>
      <c r="K27" s="13">
        <f t="shared" si="9"/>
        <v>1728.6826407152914</v>
      </c>
      <c r="L27" s="13">
        <f t="shared" si="9"/>
        <v>2115.5067547995127</v>
      </c>
      <c r="M27" s="13">
        <f t="shared" si="9"/>
        <v>2532.3441420425224</v>
      </c>
      <c r="N27" s="13">
        <f t="shared" si="9"/>
        <v>2955.8363504753388</v>
      </c>
      <c r="O27" s="13">
        <f t="shared" si="9"/>
        <v>3364.0196605588062</v>
      </c>
      <c r="P27" s="13">
        <f t="shared" si="9"/>
        <v>3804.1571664282137</v>
      </c>
    </row>
    <row r="28" spans="1:16" ht="15" thickTop="1" x14ac:dyDescent="0.35">
      <c r="B28" t="s">
        <v>41</v>
      </c>
      <c r="E28">
        <f t="shared" ref="E28:F28" si="10">E73</f>
        <v>105.89999999999998</v>
      </c>
      <c r="F28">
        <f t="shared" si="10"/>
        <v>136.39999999999998</v>
      </c>
    </row>
    <row r="29" spans="1:16" x14ac:dyDescent="0.35">
      <c r="B29" t="s">
        <v>42</v>
      </c>
      <c r="E29">
        <f>ROUND(ABS(E27-E28),4)</f>
        <v>0</v>
      </c>
      <c r="F29">
        <f>ROUND(ABS(F27-F28),4)</f>
        <v>0</v>
      </c>
    </row>
    <row r="31" spans="1:16" x14ac:dyDescent="0.35">
      <c r="A31" t="s">
        <v>56</v>
      </c>
      <c r="G31" t="s">
        <v>97</v>
      </c>
    </row>
    <row r="32" spans="1:16" x14ac:dyDescent="0.35">
      <c r="B32" t="s">
        <v>57</v>
      </c>
      <c r="E32">
        <v>101</v>
      </c>
      <c r="F32">
        <v>121.8</v>
      </c>
    </row>
    <row r="33" spans="2:7" x14ac:dyDescent="0.35">
      <c r="B33" t="s">
        <v>58</v>
      </c>
    </row>
    <row r="34" spans="2:7" x14ac:dyDescent="0.35">
      <c r="C34" t="s">
        <v>59</v>
      </c>
      <c r="E34" s="16">
        <v>27.6</v>
      </c>
      <c r="F34" s="16">
        <v>32.299999999999997</v>
      </c>
      <c r="G34" t="s">
        <v>98</v>
      </c>
    </row>
    <row r="35" spans="2:7" x14ac:dyDescent="0.35">
      <c r="C35" t="s">
        <v>60</v>
      </c>
      <c r="E35" s="16">
        <v>40.6</v>
      </c>
      <c r="F35" s="16">
        <v>50.3</v>
      </c>
      <c r="G35" t="s">
        <v>98</v>
      </c>
    </row>
    <row r="36" spans="2:7" x14ac:dyDescent="0.35">
      <c r="C36" t="s">
        <v>61</v>
      </c>
      <c r="E36" s="16">
        <v>2.5</v>
      </c>
      <c r="F36" s="16">
        <v>3.2</v>
      </c>
      <c r="G36" t="s">
        <v>99</v>
      </c>
    </row>
    <row r="37" spans="2:7" x14ac:dyDescent="0.35">
      <c r="C37" t="s">
        <v>62</v>
      </c>
      <c r="E37" s="16">
        <v>0</v>
      </c>
      <c r="F37" s="16">
        <v>0.4</v>
      </c>
      <c r="G37" t="s">
        <v>52</v>
      </c>
    </row>
    <row r="38" spans="2:7" x14ac:dyDescent="0.35">
      <c r="C38" t="s">
        <v>63</v>
      </c>
      <c r="E38" s="16">
        <v>-0.4</v>
      </c>
      <c r="F38" s="16">
        <v>-0.5</v>
      </c>
      <c r="G38" t="s">
        <v>52</v>
      </c>
    </row>
    <row r="39" spans="2:7" x14ac:dyDescent="0.35">
      <c r="C39" t="s">
        <v>64</v>
      </c>
      <c r="E39" s="16">
        <v>0</v>
      </c>
      <c r="F39" s="16">
        <v>-0.2</v>
      </c>
      <c r="G39" t="s">
        <v>52</v>
      </c>
    </row>
    <row r="40" spans="2:7" x14ac:dyDescent="0.35">
      <c r="C40" t="s">
        <v>65</v>
      </c>
      <c r="E40" s="16">
        <v>-0.1</v>
      </c>
      <c r="F40" s="16">
        <v>0</v>
      </c>
      <c r="G40" t="s">
        <v>52</v>
      </c>
    </row>
    <row r="41" spans="2:7" x14ac:dyDescent="0.35">
      <c r="C41" t="s">
        <v>66</v>
      </c>
      <c r="E41" s="16">
        <v>1.5</v>
      </c>
      <c r="F41" s="16">
        <v>0.8</v>
      </c>
      <c r="G41" t="s">
        <v>52</v>
      </c>
    </row>
    <row r="42" spans="2:7" x14ac:dyDescent="0.35">
      <c r="C42" t="s">
        <v>67</v>
      </c>
      <c r="E42" s="16">
        <v>-0.8</v>
      </c>
      <c r="F42" s="16">
        <v>-1.3</v>
      </c>
      <c r="G42" t="s">
        <v>52</v>
      </c>
    </row>
    <row r="43" spans="2:7" x14ac:dyDescent="0.35">
      <c r="C43" t="s">
        <v>68</v>
      </c>
      <c r="E43" s="16">
        <v>3.2</v>
      </c>
      <c r="F43" s="16">
        <v>3.5</v>
      </c>
      <c r="G43" t="s">
        <v>68</v>
      </c>
    </row>
    <row r="44" spans="2:7" x14ac:dyDescent="0.35">
      <c r="C44" t="s">
        <v>34</v>
      </c>
      <c r="E44" s="16">
        <v>-0.1</v>
      </c>
      <c r="F44" s="16">
        <v>-0.9</v>
      </c>
      <c r="G44" t="s">
        <v>52</v>
      </c>
    </row>
    <row r="45" spans="2:7" x14ac:dyDescent="0.35">
      <c r="C45" t="s">
        <v>33</v>
      </c>
      <c r="E45" s="16">
        <v>16</v>
      </c>
      <c r="F45" s="16">
        <v>24</v>
      </c>
      <c r="G45" t="s">
        <v>33</v>
      </c>
    </row>
    <row r="46" spans="2:7" x14ac:dyDescent="0.35">
      <c r="C46" t="s">
        <v>35</v>
      </c>
      <c r="E46" s="16">
        <v>0</v>
      </c>
      <c r="F46" s="16">
        <v>0.7</v>
      </c>
      <c r="G46" t="s">
        <v>52</v>
      </c>
    </row>
    <row r="47" spans="2:7" x14ac:dyDescent="0.35">
      <c r="C47" t="s">
        <v>37</v>
      </c>
      <c r="E47" s="16">
        <v>25.2</v>
      </c>
      <c r="F47" s="16">
        <v>33</v>
      </c>
      <c r="G47" t="s">
        <v>37</v>
      </c>
    </row>
    <row r="48" spans="2:7" x14ac:dyDescent="0.35">
      <c r="C48" t="s">
        <v>69</v>
      </c>
      <c r="E48" s="16">
        <v>-50.6</v>
      </c>
      <c r="F48" s="16">
        <v>-51.5</v>
      </c>
      <c r="G48" t="s">
        <v>69</v>
      </c>
    </row>
    <row r="49" spans="2:7" x14ac:dyDescent="0.35">
      <c r="C49" t="s">
        <v>70</v>
      </c>
      <c r="E49" s="16">
        <v>-6.4</v>
      </c>
      <c r="F49" s="16">
        <v>1.5</v>
      </c>
      <c r="G49" t="s">
        <v>70</v>
      </c>
    </row>
    <row r="50" spans="2:7" x14ac:dyDescent="0.35">
      <c r="C50" t="s">
        <v>71</v>
      </c>
      <c r="E50" s="16">
        <v>27.4</v>
      </c>
      <c r="F50" s="16">
        <v>22.1</v>
      </c>
      <c r="G50" t="s">
        <v>71</v>
      </c>
    </row>
    <row r="51" spans="2:7" x14ac:dyDescent="0.35">
      <c r="B51" s="7" t="s">
        <v>72</v>
      </c>
      <c r="C51" s="7"/>
      <c r="D51" s="7"/>
      <c r="E51" s="7">
        <f>SUM(E32:E50)</f>
        <v>186.59999999999997</v>
      </c>
      <c r="F51" s="7">
        <f>SUM(F32:F50)</f>
        <v>239.19999999999996</v>
      </c>
    </row>
    <row r="52" spans="2:7" x14ac:dyDescent="0.35">
      <c r="C52" t="s">
        <v>73</v>
      </c>
      <c r="E52" s="16">
        <v>-0.7</v>
      </c>
      <c r="F52" s="16">
        <v>-0.7</v>
      </c>
      <c r="G52" t="s">
        <v>52</v>
      </c>
    </row>
    <row r="53" spans="2:7" x14ac:dyDescent="0.35">
      <c r="C53" t="s">
        <v>74</v>
      </c>
      <c r="E53" s="16">
        <v>-15.6</v>
      </c>
      <c r="F53" s="16">
        <v>-26.6</v>
      </c>
      <c r="G53" t="s">
        <v>74</v>
      </c>
    </row>
    <row r="54" spans="2:7" x14ac:dyDescent="0.35">
      <c r="B54" s="7" t="s">
        <v>75</v>
      </c>
      <c r="C54" s="7"/>
      <c r="D54" s="7"/>
      <c r="E54" s="7">
        <f>SUM(E51:E53)</f>
        <v>170.29999999999998</v>
      </c>
      <c r="F54" s="7">
        <f>SUM(F51:F53)</f>
        <v>211.89999999999998</v>
      </c>
    </row>
    <row r="55" spans="2:7" x14ac:dyDescent="0.35">
      <c r="B55" t="s">
        <v>76</v>
      </c>
    </row>
    <row r="56" spans="2:7" x14ac:dyDescent="0.35">
      <c r="C56" t="s">
        <v>77</v>
      </c>
    </row>
    <row r="57" spans="2:7" x14ac:dyDescent="0.35">
      <c r="C57" t="s">
        <v>78</v>
      </c>
      <c r="E57" s="16">
        <v>-41</v>
      </c>
      <c r="F57" s="16">
        <v>-75</v>
      </c>
      <c r="G57" t="s">
        <v>78</v>
      </c>
    </row>
    <row r="58" spans="2:7" x14ac:dyDescent="0.35">
      <c r="C58" t="s">
        <v>79</v>
      </c>
      <c r="E58" s="16">
        <v>-2.2000000000000002</v>
      </c>
      <c r="F58" s="16">
        <v>-2.7</v>
      </c>
      <c r="G58" t="s">
        <v>95</v>
      </c>
    </row>
    <row r="59" spans="2:7" x14ac:dyDescent="0.35">
      <c r="C59" t="s">
        <v>80</v>
      </c>
      <c r="E59" s="16">
        <v>-0.8</v>
      </c>
      <c r="F59" s="16">
        <v>7.1</v>
      </c>
      <c r="G59" t="s">
        <v>95</v>
      </c>
    </row>
    <row r="60" spans="2:7" x14ac:dyDescent="0.35">
      <c r="B60" s="7" t="s">
        <v>81</v>
      </c>
      <c r="C60" s="7"/>
      <c r="D60" s="7"/>
      <c r="E60" s="7">
        <f>SUM(E57:E59)</f>
        <v>-44</v>
      </c>
      <c r="F60" s="7">
        <f>SUM(F57:F59)</f>
        <v>-70.600000000000009</v>
      </c>
    </row>
    <row r="61" spans="2:7" x14ac:dyDescent="0.35">
      <c r="C61" t="s">
        <v>82</v>
      </c>
      <c r="E61" s="16">
        <v>-44.1</v>
      </c>
      <c r="F61" s="16">
        <v>-24.9</v>
      </c>
      <c r="G61" t="s">
        <v>95</v>
      </c>
    </row>
    <row r="62" spans="2:7" x14ac:dyDescent="0.35">
      <c r="B62" s="7" t="s">
        <v>83</v>
      </c>
      <c r="C62" s="7"/>
      <c r="D62" s="7"/>
      <c r="E62" s="7">
        <f>SUM(E60:E61)</f>
        <v>-88.1</v>
      </c>
      <c r="F62" s="7">
        <f>SUM(F60:F61)</f>
        <v>-95.5</v>
      </c>
    </row>
    <row r="63" spans="2:7" x14ac:dyDescent="0.35">
      <c r="B63" t="s">
        <v>84</v>
      </c>
    </row>
    <row r="64" spans="2:7" x14ac:dyDescent="0.35">
      <c r="C64" t="s">
        <v>85</v>
      </c>
      <c r="E64" s="16">
        <v>0</v>
      </c>
      <c r="F64" s="16">
        <v>-21.3</v>
      </c>
      <c r="G64" t="s">
        <v>96</v>
      </c>
    </row>
    <row r="65" spans="2:7" x14ac:dyDescent="0.35">
      <c r="C65" t="s">
        <v>86</v>
      </c>
      <c r="E65" s="16">
        <v>-40.799999999999997</v>
      </c>
      <c r="F65" s="16">
        <v>-42</v>
      </c>
      <c r="G65" t="s">
        <v>166</v>
      </c>
    </row>
    <row r="66" spans="2:7" x14ac:dyDescent="0.35">
      <c r="C66" t="s">
        <v>87</v>
      </c>
      <c r="E66" s="16">
        <v>-12.2</v>
      </c>
      <c r="F66" s="16">
        <v>-17.2</v>
      </c>
      <c r="G66" t="s">
        <v>100</v>
      </c>
    </row>
    <row r="67" spans="2:7" x14ac:dyDescent="0.35">
      <c r="C67" t="s">
        <v>88</v>
      </c>
      <c r="E67" s="16">
        <v>-2.7</v>
      </c>
      <c r="F67" s="16">
        <v>-5.6</v>
      </c>
      <c r="G67" t="s">
        <v>100</v>
      </c>
    </row>
    <row r="68" spans="2:7" x14ac:dyDescent="0.35">
      <c r="C68" t="s">
        <v>89</v>
      </c>
      <c r="E68" s="16">
        <v>0</v>
      </c>
      <c r="F68" s="16">
        <v>0.9</v>
      </c>
      <c r="G68" t="s">
        <v>100</v>
      </c>
    </row>
    <row r="69" spans="2:7" x14ac:dyDescent="0.35">
      <c r="B69" s="7" t="s">
        <v>90</v>
      </c>
      <c r="C69" s="7"/>
      <c r="D69" s="7"/>
      <c r="E69" s="7">
        <f t="shared" ref="E69:F69" si="11">SUM(E64:E68)</f>
        <v>-55.7</v>
      </c>
      <c r="F69" s="7">
        <f t="shared" si="11"/>
        <v>-85.199999999999989</v>
      </c>
    </row>
    <row r="70" spans="2:7" ht="15" thickBot="1" x14ac:dyDescent="0.4">
      <c r="B70" s="13" t="s">
        <v>91</v>
      </c>
      <c r="C70" s="13"/>
      <c r="D70" s="13"/>
      <c r="E70" s="13">
        <f>E54+E62+E69</f>
        <v>26.499999999999986</v>
      </c>
      <c r="F70" s="13">
        <f>F54+F62+F69</f>
        <v>31.199999999999989</v>
      </c>
    </row>
    <row r="71" spans="2:7" ht="15" thickTop="1" x14ac:dyDescent="0.35">
      <c r="B71" t="s">
        <v>92</v>
      </c>
      <c r="E71">
        <v>76.099999999999994</v>
      </c>
      <c r="F71">
        <f>E73</f>
        <v>105.89999999999998</v>
      </c>
    </row>
    <row r="72" spans="2:7" x14ac:dyDescent="0.35">
      <c r="C72" t="s">
        <v>93</v>
      </c>
      <c r="E72" s="19">
        <v>3.3</v>
      </c>
      <c r="F72" s="19">
        <v>-0.7</v>
      </c>
    </row>
    <row r="73" spans="2:7" ht="15" thickBot="1" x14ac:dyDescent="0.4">
      <c r="B73" s="13" t="s">
        <v>94</v>
      </c>
      <c r="C73" s="13"/>
      <c r="D73" s="13"/>
      <c r="E73" s="13">
        <f>SUM(E70:E72)</f>
        <v>105.89999999999998</v>
      </c>
      <c r="F73" s="13">
        <f>SUM(F70:F72)</f>
        <v>136.39999999999998</v>
      </c>
    </row>
    <row r="74" spans="2:7" ht="15" thickTop="1" x14ac:dyDescent="0.35"/>
  </sheetData>
  <dataValidations disablePrompts="1" count="1">
    <dataValidation type="list" allowBlank="1" showInputMessage="1" showErrorMessage="1" sqref="G52:G53 G64:G68 G61 G57:G59 G34:G50" xr:uid="{6062AB7D-EB35-4915-9517-DE65FD7EB269}">
      <formula1>$C$5:$C$22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D41E-B9FF-45E0-9DCC-3898A1B5B84B}">
  <sheetPr codeName="Sheet5"/>
  <dimension ref="A1:Y62"/>
  <sheetViews>
    <sheetView showGridLines="0" zoomScale="125" zoomScaleNormal="125" workbookViewId="0"/>
  </sheetViews>
  <sheetFormatPr defaultColWidth="0" defaultRowHeight="14.4" x14ac:dyDescent="0.35"/>
  <cols>
    <col min="1" max="2" width="1.77734375" customWidth="1"/>
    <col min="3" max="3" width="30.77734375" customWidth="1"/>
    <col min="4" max="4" width="0.88671875" customWidth="1"/>
    <col min="5" max="16" width="8.88671875" customWidth="1"/>
    <col min="17" max="17" width="1.77734375" customWidth="1"/>
    <col min="18" max="25" width="8.88671875" customWidth="1"/>
    <col min="26" max="16384" width="8.88671875" hidden="1"/>
  </cols>
  <sheetData>
    <row r="1" spans="1:17" x14ac:dyDescent="0.35">
      <c r="A1" s="15" t="str">
        <f>"Balance sheet for "&amp;CoName</f>
        <v>Balance sheet for Watches of Switzerland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A2" t="str">
        <f>CFS!$A$2</f>
        <v>All diagnostics passed</v>
      </c>
      <c r="E2">
        <f>IS!E2</f>
        <v>-1</v>
      </c>
      <c r="F2">
        <f>IS!F2</f>
        <v>0</v>
      </c>
      <c r="G2">
        <f>IS!G2</f>
        <v>1</v>
      </c>
      <c r="H2">
        <f>IS!H2</f>
        <v>2</v>
      </c>
      <c r="I2">
        <f>IS!I2</f>
        <v>3</v>
      </c>
      <c r="J2">
        <f>IS!J2</f>
        <v>4</v>
      </c>
      <c r="K2">
        <f>IS!K2</f>
        <v>5</v>
      </c>
      <c r="L2">
        <f>IS!L2</f>
        <v>6</v>
      </c>
      <c r="M2">
        <f>IS!M2</f>
        <v>7</v>
      </c>
      <c r="N2">
        <f>IS!N2</f>
        <v>8</v>
      </c>
      <c r="O2">
        <f>IS!O2</f>
        <v>9</v>
      </c>
      <c r="P2">
        <f>IS!P2</f>
        <v>10</v>
      </c>
    </row>
    <row r="3" spans="1:17" ht="16.2" x14ac:dyDescent="0.5">
      <c r="E3" s="14">
        <f>IS!E3</f>
        <v>44926</v>
      </c>
      <c r="F3" s="14">
        <f>IS!F3</f>
        <v>45291</v>
      </c>
      <c r="G3" s="14">
        <f>IS!G3</f>
        <v>45657</v>
      </c>
      <c r="H3" s="14">
        <f>IS!H3</f>
        <v>46022</v>
      </c>
      <c r="I3" s="14">
        <f>IS!I3</f>
        <v>46387</v>
      </c>
      <c r="J3" s="14">
        <f>IS!J3</f>
        <v>46752</v>
      </c>
      <c r="K3" s="14">
        <f>IS!K3</f>
        <v>47118</v>
      </c>
      <c r="L3" s="14">
        <f>IS!L3</f>
        <v>47483</v>
      </c>
      <c r="M3" s="14">
        <f>IS!M3</f>
        <v>47848</v>
      </c>
      <c r="N3" s="14">
        <f>IS!N3</f>
        <v>48213</v>
      </c>
      <c r="O3" s="14">
        <f>IS!O3</f>
        <v>48579</v>
      </c>
      <c r="P3" s="14">
        <f>IS!P3</f>
        <v>48944</v>
      </c>
    </row>
    <row r="4" spans="1:17" x14ac:dyDescent="0.35">
      <c r="C4" t="str">
        <f>B24</f>
        <v>Property, plant and equipment</v>
      </c>
      <c r="E4">
        <f t="shared" ref="E4:F8" si="0">SUMIF($G$22:$G$53,$C4,E$22:E$53)</f>
        <v>112.5</v>
      </c>
      <c r="F4">
        <f t="shared" si="0"/>
        <v>154.4</v>
      </c>
      <c r="G4">
        <f>F4-Control!G95+Control!G82</f>
        <v>331.4</v>
      </c>
      <c r="H4">
        <f>G4-Control!H95+Control!H82</f>
        <v>540.26</v>
      </c>
      <c r="I4">
        <f>H4-Control!I95+Control!I82</f>
        <v>782.53759999999988</v>
      </c>
      <c r="J4">
        <f>I4-Control!J95+Control!J82</f>
        <v>1061.1568399999999</v>
      </c>
      <c r="K4">
        <f>J4-Control!K95+Control!K82</f>
        <v>1373.2103887999999</v>
      </c>
      <c r="L4">
        <f>K4-Control!L95+Control!L82</f>
        <v>1716.4692924799999</v>
      </c>
      <c r="M4">
        <f>L4-Control!M95+Control!M82</f>
        <v>2087.1889084544</v>
      </c>
      <c r="N4">
        <f>M4-Control!N95+Control!N82</f>
        <v>2480.1517013872644</v>
      </c>
      <c r="O4">
        <f>N4-Control!O95+Control!O82</f>
        <v>2884.9033781081143</v>
      </c>
      <c r="P4">
        <f>O4-Control!P95+Control!P82</f>
        <v>3301.7976051305895</v>
      </c>
    </row>
    <row r="5" spans="1:17" x14ac:dyDescent="0.35">
      <c r="C5" t="str">
        <f>B25</f>
        <v>Right-of-use assets</v>
      </c>
      <c r="E5">
        <f t="shared" si="0"/>
        <v>293.60000000000002</v>
      </c>
      <c r="F5">
        <f t="shared" si="0"/>
        <v>359.1</v>
      </c>
      <c r="G5">
        <f t="shared" ref="G5:P8" si="1">F5</f>
        <v>359.1</v>
      </c>
      <c r="H5">
        <f t="shared" si="1"/>
        <v>359.1</v>
      </c>
      <c r="I5">
        <f t="shared" si="1"/>
        <v>359.1</v>
      </c>
      <c r="J5">
        <f t="shared" si="1"/>
        <v>359.1</v>
      </c>
      <c r="K5">
        <f t="shared" si="1"/>
        <v>359.1</v>
      </c>
      <c r="L5">
        <f t="shared" si="1"/>
        <v>359.1</v>
      </c>
      <c r="M5">
        <f t="shared" si="1"/>
        <v>359.1</v>
      </c>
      <c r="N5">
        <f t="shared" si="1"/>
        <v>359.1</v>
      </c>
      <c r="O5">
        <v>359.1</v>
      </c>
      <c r="P5">
        <f t="shared" si="1"/>
        <v>359.1</v>
      </c>
    </row>
    <row r="6" spans="1:17" x14ac:dyDescent="0.35">
      <c r="C6" t="str">
        <f>B31</f>
        <v>Inventories</v>
      </c>
      <c r="E6">
        <f t="shared" si="0"/>
        <v>302.60000000000002</v>
      </c>
      <c r="F6">
        <f t="shared" si="0"/>
        <v>356</v>
      </c>
      <c r="G6">
        <f>F6-Control!G92</f>
        <v>420.93913196888451</v>
      </c>
      <c r="H6">
        <f>G6-Control!H92</f>
        <v>497.86331101566344</v>
      </c>
      <c r="I6">
        <f>H6-Control!I92</f>
        <v>578.86139771733008</v>
      </c>
      <c r="J6">
        <f>I6-Control!J92</f>
        <v>678.34456920512855</v>
      </c>
      <c r="K6">
        <f>J6-Control!K92</f>
        <v>774.94083585993894</v>
      </c>
      <c r="L6">
        <f>K6-Control!L92</f>
        <v>885.86373981636177</v>
      </c>
      <c r="M6">
        <f>L6-Control!M92</f>
        <v>974.78440200170235</v>
      </c>
      <c r="N6">
        <f>M6-Control!N92</f>
        <v>1052.4061229018378</v>
      </c>
      <c r="O6">
        <f>N6-Control!O92</f>
        <v>1103.6870030723276</v>
      </c>
      <c r="P6">
        <f>O6-Control!P92</f>
        <v>1136.7976131644971</v>
      </c>
    </row>
    <row r="7" spans="1:17" x14ac:dyDescent="0.35">
      <c r="C7" t="str">
        <f>B33</f>
        <v>Trade and other receivables</v>
      </c>
      <c r="E7">
        <f t="shared" si="0"/>
        <v>19.600000000000001</v>
      </c>
      <c r="F7">
        <f t="shared" si="0"/>
        <v>17.7</v>
      </c>
      <c r="G7">
        <f>F7-Control!G93</f>
        <v>20.885999999999999</v>
      </c>
      <c r="H7">
        <f>G7-Control!H93</f>
        <v>24.645480000000003</v>
      </c>
      <c r="I7">
        <f>H7-Control!I93</f>
        <v>28.588756799999999</v>
      </c>
      <c r="J7">
        <f>I7-Control!J93</f>
        <v>32.877070319999994</v>
      </c>
      <c r="K7">
        <f>J7-Control!K93</f>
        <v>36.822318758399994</v>
      </c>
      <c r="L7">
        <f>K7-Control!L93</f>
        <v>40.504550634239997</v>
      </c>
      <c r="M7">
        <f>L7-Control!M93</f>
        <v>43.7449146849792</v>
      </c>
      <c r="N7">
        <f>M7-Control!N93</f>
        <v>46.369609566077955</v>
      </c>
      <c r="O7">
        <f>N7-Control!O93</f>
        <v>47.7606978530603</v>
      </c>
      <c r="P7">
        <f>O7-Control!P93</f>
        <v>49.193518788652113</v>
      </c>
    </row>
    <row r="8" spans="1:17" x14ac:dyDescent="0.35">
      <c r="C8" t="s">
        <v>138</v>
      </c>
      <c r="E8">
        <f t="shared" si="0"/>
        <v>195.79999999999998</v>
      </c>
      <c r="F8">
        <f t="shared" si="0"/>
        <v>211.39999999999998</v>
      </c>
      <c r="G8">
        <f t="shared" si="1"/>
        <v>211.39999999999998</v>
      </c>
      <c r="H8">
        <f t="shared" si="1"/>
        <v>211.39999999999998</v>
      </c>
      <c r="I8">
        <f t="shared" si="1"/>
        <v>211.39999999999998</v>
      </c>
      <c r="J8">
        <f t="shared" si="1"/>
        <v>211.39999999999998</v>
      </c>
      <c r="K8">
        <f t="shared" si="1"/>
        <v>211.39999999999998</v>
      </c>
      <c r="L8">
        <f t="shared" si="1"/>
        <v>211.39999999999998</v>
      </c>
      <c r="M8">
        <f t="shared" si="1"/>
        <v>211.39999999999998</v>
      </c>
      <c r="N8">
        <f t="shared" si="1"/>
        <v>211.39999999999998</v>
      </c>
      <c r="O8">
        <f t="shared" si="1"/>
        <v>211.39999999999998</v>
      </c>
      <c r="P8">
        <f t="shared" si="1"/>
        <v>211.39999999999998</v>
      </c>
    </row>
    <row r="9" spans="1:17" x14ac:dyDescent="0.35">
      <c r="C9" t="s">
        <v>101</v>
      </c>
      <c r="E9">
        <f>CFS!E27</f>
        <v>105.89999999999995</v>
      </c>
      <c r="F9">
        <f>CFS!F27</f>
        <v>136.39999999999998</v>
      </c>
      <c r="G9">
        <f>CFS!G27</f>
        <v>399.75030634473092</v>
      </c>
      <c r="H9">
        <f>CFS!H27</f>
        <v>684.09485480643821</v>
      </c>
      <c r="I9">
        <f>CFS!I27</f>
        <v>995.44305085397423</v>
      </c>
      <c r="J9">
        <f>CFS!J27</f>
        <v>1350.2439565985783</v>
      </c>
      <c r="K9">
        <f>CFS!K27</f>
        <v>1728.6826407152914</v>
      </c>
      <c r="L9">
        <f>CFS!L27</f>
        <v>2115.5067547995127</v>
      </c>
      <c r="M9">
        <f>CFS!M27</f>
        <v>2532.3441420425224</v>
      </c>
      <c r="N9">
        <f>CFS!N27</f>
        <v>2955.8363504753388</v>
      </c>
      <c r="O9">
        <f>CFS!O27</f>
        <v>3364.0196605588062</v>
      </c>
      <c r="P9">
        <f>CFS!P27</f>
        <v>3804.1571664282137</v>
      </c>
    </row>
    <row r="10" spans="1:17" ht="15" thickBot="1" x14ac:dyDescent="0.4">
      <c r="B10" s="13" t="s">
        <v>102</v>
      </c>
      <c r="C10" s="13"/>
      <c r="D10" s="13"/>
      <c r="E10" s="13">
        <f>SUM(E4:E9)</f>
        <v>1030</v>
      </c>
      <c r="F10" s="13">
        <f>SUM(F4:F9)</f>
        <v>1235</v>
      </c>
      <c r="G10" s="44">
        <f>F10</f>
        <v>1235</v>
      </c>
      <c r="H10" s="44">
        <f t="shared" ref="H10:P10" si="2">G10</f>
        <v>1235</v>
      </c>
      <c r="I10" s="44">
        <f t="shared" si="2"/>
        <v>1235</v>
      </c>
      <c r="J10" s="44">
        <f t="shared" si="2"/>
        <v>1235</v>
      </c>
      <c r="K10" s="44">
        <f t="shared" si="2"/>
        <v>1235</v>
      </c>
      <c r="L10" s="44">
        <f t="shared" si="2"/>
        <v>1235</v>
      </c>
      <c r="M10" s="44">
        <f t="shared" si="2"/>
        <v>1235</v>
      </c>
      <c r="N10" s="44">
        <f t="shared" si="2"/>
        <v>1235</v>
      </c>
      <c r="O10" s="44">
        <f t="shared" si="2"/>
        <v>1235</v>
      </c>
      <c r="P10" s="44">
        <f t="shared" si="2"/>
        <v>1235</v>
      </c>
    </row>
    <row r="11" spans="1:17" ht="15" thickTop="1" x14ac:dyDescent="0.35">
      <c r="C11" t="str">
        <f>B39</f>
        <v>Trade and other payables</v>
      </c>
      <c r="E11">
        <f t="shared" ref="E11:F13" si="3">-SUMIF($G$22:$G$53,$C11,E$22:E$53)</f>
        <v>201.4</v>
      </c>
      <c r="F11">
        <f t="shared" si="3"/>
        <v>219.6</v>
      </c>
      <c r="G11">
        <f>F11+Control!G94</f>
        <v>259.65795893361525</v>
      </c>
      <c r="H11">
        <f>G11+Control!H94</f>
        <v>307.10894128943733</v>
      </c>
      <c r="I11">
        <f>H11+Control!I94</f>
        <v>357.07292960316198</v>
      </c>
      <c r="J11">
        <f>I11+Control!J94</f>
        <v>410.63386904363625</v>
      </c>
      <c r="K11">
        <f>J11+Control!K94</f>
        <v>459.90993332887257</v>
      </c>
      <c r="L11">
        <f>K11+Control!L94</f>
        <v>505.90092666175997</v>
      </c>
      <c r="M11">
        <f>L11+Control!M94</f>
        <v>546.37300079470083</v>
      </c>
      <c r="N11">
        <f>M11+Control!N94</f>
        <v>579.15538084238278</v>
      </c>
      <c r="O11">
        <f>N11+Control!O94</f>
        <v>596.53004226765438</v>
      </c>
      <c r="P11">
        <f>O11+Control!P94</f>
        <v>614.42594353568393</v>
      </c>
    </row>
    <row r="12" spans="1:17" x14ac:dyDescent="0.35">
      <c r="C12" t="str">
        <f>B48</f>
        <v>Borrowings</v>
      </c>
      <c r="E12">
        <f t="shared" si="3"/>
        <v>459.19999999999993</v>
      </c>
      <c r="F12">
        <f t="shared" si="3"/>
        <v>530.4</v>
      </c>
      <c r="G12">
        <f>F12+Control!G97</f>
        <v>636.04808400000013</v>
      </c>
      <c r="H12">
        <f>G12+Control!H97</f>
        <v>741.28098290400021</v>
      </c>
      <c r="I12">
        <f>H12+Control!I97</f>
        <v>849.14926295807948</v>
      </c>
      <c r="J12">
        <f>I12+Control!J97</f>
        <v>976.52165240179181</v>
      </c>
      <c r="K12">
        <f>J12+Control!K97</f>
        <v>1093.704250690007</v>
      </c>
      <c r="L12">
        <f>K12+Control!L97</f>
        <v>1203.0746757590077</v>
      </c>
      <c r="M12">
        <f>L12+Control!M97</f>
        <v>1299.3206498197283</v>
      </c>
      <c r="N12">
        <f>M12+Control!N97</f>
        <v>1377.2798888089126</v>
      </c>
      <c r="O12">
        <f>N12+Control!O97</f>
        <v>1418.5982854731797</v>
      </c>
      <c r="P12">
        <f>O12+Control!P97</f>
        <v>1461.1562340373755</v>
      </c>
    </row>
    <row r="13" spans="1:17" x14ac:dyDescent="0.35">
      <c r="C13" t="s">
        <v>139</v>
      </c>
      <c r="E13">
        <f t="shared" si="3"/>
        <v>8.1</v>
      </c>
      <c r="F13">
        <f t="shared" si="3"/>
        <v>15.7</v>
      </c>
      <c r="G13">
        <f t="shared" ref="G13:P13" si="4">F13</f>
        <v>15.7</v>
      </c>
      <c r="H13">
        <f t="shared" si="4"/>
        <v>15.7</v>
      </c>
      <c r="I13">
        <f t="shared" si="4"/>
        <v>15.7</v>
      </c>
      <c r="J13">
        <f t="shared" si="4"/>
        <v>15.7</v>
      </c>
      <c r="K13">
        <f t="shared" si="4"/>
        <v>15.7</v>
      </c>
      <c r="L13">
        <f t="shared" si="4"/>
        <v>15.7</v>
      </c>
      <c r="M13">
        <f t="shared" si="4"/>
        <v>15.7</v>
      </c>
      <c r="N13">
        <f t="shared" si="4"/>
        <v>15.7</v>
      </c>
      <c r="O13">
        <f t="shared" si="4"/>
        <v>15.7</v>
      </c>
      <c r="P13">
        <f t="shared" si="4"/>
        <v>15.7</v>
      </c>
    </row>
    <row r="14" spans="1:17" x14ac:dyDescent="0.35">
      <c r="B14" s="7" t="s">
        <v>103</v>
      </c>
      <c r="C14" s="7"/>
      <c r="D14" s="7"/>
      <c r="E14" s="7">
        <f t="shared" ref="E14:P14" si="5">SUM(E11:E13)</f>
        <v>668.69999999999993</v>
      </c>
      <c r="F14" s="7">
        <f t="shared" si="5"/>
        <v>765.7</v>
      </c>
      <c r="G14" s="7">
        <f t="shared" si="5"/>
        <v>911.40604293361548</v>
      </c>
      <c r="H14" s="7">
        <f t="shared" si="5"/>
        <v>1064.0899241934376</v>
      </c>
      <c r="I14" s="7">
        <f t="shared" si="5"/>
        <v>1221.9221925612414</v>
      </c>
      <c r="J14" s="7">
        <f t="shared" si="5"/>
        <v>1402.8555214454282</v>
      </c>
      <c r="K14" s="7">
        <f t="shared" si="5"/>
        <v>1569.3141840188796</v>
      </c>
      <c r="L14" s="7">
        <f t="shared" si="5"/>
        <v>1724.6756024207677</v>
      </c>
      <c r="M14" s="7">
        <f t="shared" si="5"/>
        <v>1861.3936506144291</v>
      </c>
      <c r="N14" s="7">
        <f t="shared" si="5"/>
        <v>1972.1352696512954</v>
      </c>
      <c r="O14" s="7">
        <f t="shared" si="5"/>
        <v>2030.8283277408341</v>
      </c>
      <c r="P14" s="7">
        <f t="shared" si="5"/>
        <v>2091.282177573059</v>
      </c>
    </row>
    <row r="15" spans="1:17" x14ac:dyDescent="0.35">
      <c r="B15" t="s">
        <v>104</v>
      </c>
      <c r="E15">
        <f>E10-E14</f>
        <v>361.30000000000007</v>
      </c>
      <c r="F15">
        <f t="shared" ref="F15:P15" si="6">F10-F14</f>
        <v>469.29999999999995</v>
      </c>
      <c r="G15">
        <f t="shared" si="6"/>
        <v>323.59395706638452</v>
      </c>
      <c r="H15">
        <f t="shared" si="6"/>
        <v>170.91007580656242</v>
      </c>
      <c r="I15">
        <f t="shared" si="6"/>
        <v>13.077807438758555</v>
      </c>
      <c r="J15" s="43">
        <f t="shared" si="6"/>
        <v>-167.85552144542817</v>
      </c>
      <c r="K15" s="43">
        <f t="shared" si="6"/>
        <v>-334.31418401887959</v>
      </c>
      <c r="L15" s="43">
        <f t="shared" si="6"/>
        <v>-489.67560242076775</v>
      </c>
      <c r="M15" s="43">
        <f t="shared" si="6"/>
        <v>-626.39365061442913</v>
      </c>
      <c r="N15" s="43">
        <f t="shared" si="6"/>
        <v>-737.1352696512954</v>
      </c>
      <c r="O15" s="43">
        <f t="shared" si="6"/>
        <v>-795.82832774083408</v>
      </c>
      <c r="P15" s="43">
        <f t="shared" si="6"/>
        <v>-856.28217757305902</v>
      </c>
    </row>
    <row r="16" spans="1:17" ht="15" thickBot="1" x14ac:dyDescent="0.4">
      <c r="B16" s="13" t="s">
        <v>105</v>
      </c>
      <c r="C16" s="13"/>
      <c r="D16" s="13"/>
      <c r="E16" s="13">
        <f>SUM(E14:E15)</f>
        <v>1030</v>
      </c>
      <c r="F16" s="13">
        <f t="shared" ref="F16:P16" si="7">SUM(F14:F15)</f>
        <v>1235</v>
      </c>
      <c r="G16" s="13">
        <f t="shared" si="7"/>
        <v>1235</v>
      </c>
      <c r="H16" s="13">
        <f t="shared" si="7"/>
        <v>1235</v>
      </c>
      <c r="I16" s="13">
        <f t="shared" si="7"/>
        <v>1235</v>
      </c>
      <c r="J16" s="13">
        <f t="shared" si="7"/>
        <v>1235</v>
      </c>
      <c r="K16" s="13">
        <f t="shared" si="7"/>
        <v>1235</v>
      </c>
      <c r="L16" s="13">
        <f t="shared" si="7"/>
        <v>1235</v>
      </c>
      <c r="M16" s="13">
        <f t="shared" si="7"/>
        <v>1235</v>
      </c>
      <c r="N16" s="13">
        <f t="shared" si="7"/>
        <v>1235</v>
      </c>
      <c r="O16" s="13">
        <f t="shared" si="7"/>
        <v>1235</v>
      </c>
      <c r="P16" s="13">
        <f t="shared" si="7"/>
        <v>1235</v>
      </c>
    </row>
    <row r="17" spans="1:16" ht="15" thickTop="1" x14ac:dyDescent="0.35">
      <c r="B17" t="s">
        <v>42</v>
      </c>
      <c r="E17">
        <f t="shared" ref="E17:P17" si="8">ROUND(ABS(E16-E10),4)</f>
        <v>0</v>
      </c>
      <c r="F17">
        <f t="shared" si="8"/>
        <v>0</v>
      </c>
      <c r="G17">
        <f t="shared" si="8"/>
        <v>0</v>
      </c>
      <c r="H17">
        <f t="shared" si="8"/>
        <v>0</v>
      </c>
      <c r="I17">
        <f t="shared" si="8"/>
        <v>0</v>
      </c>
      <c r="J17">
        <f t="shared" si="8"/>
        <v>0</v>
      </c>
      <c r="K17">
        <f t="shared" si="8"/>
        <v>0</v>
      </c>
      <c r="L17">
        <f t="shared" si="8"/>
        <v>0</v>
      </c>
      <c r="M17">
        <f t="shared" si="8"/>
        <v>0</v>
      </c>
      <c r="N17">
        <f t="shared" si="8"/>
        <v>0</v>
      </c>
      <c r="O17">
        <f t="shared" si="8"/>
        <v>0</v>
      </c>
      <c r="P17">
        <f t="shared" si="8"/>
        <v>0</v>
      </c>
    </row>
    <row r="19" spans="1:16" x14ac:dyDescent="0.35">
      <c r="A19" t="s">
        <v>56</v>
      </c>
      <c r="G19" t="s">
        <v>97</v>
      </c>
    </row>
    <row r="20" spans="1:16" x14ac:dyDescent="0.35">
      <c r="B20" t="s">
        <v>106</v>
      </c>
    </row>
    <row r="21" spans="1:16" x14ac:dyDescent="0.35">
      <c r="B21" t="s">
        <v>107</v>
      </c>
    </row>
    <row r="22" spans="1:16" x14ac:dyDescent="0.35">
      <c r="B22" t="s">
        <v>108</v>
      </c>
      <c r="E22" s="16">
        <v>165.1</v>
      </c>
      <c r="F22" s="16">
        <v>182.8</v>
      </c>
      <c r="G22" t="s">
        <v>138</v>
      </c>
    </row>
    <row r="23" spans="1:16" x14ac:dyDescent="0.35">
      <c r="B23" t="s">
        <v>109</v>
      </c>
      <c r="E23" s="16">
        <v>18.100000000000001</v>
      </c>
      <c r="F23" s="16">
        <v>17.600000000000001</v>
      </c>
      <c r="G23" t="s">
        <v>138</v>
      </c>
    </row>
    <row r="24" spans="1:16" x14ac:dyDescent="0.35">
      <c r="B24" t="s">
        <v>110</v>
      </c>
      <c r="E24" s="16">
        <v>112.5</v>
      </c>
      <c r="F24" s="16">
        <v>154.4</v>
      </c>
      <c r="G24" t="s">
        <v>110</v>
      </c>
    </row>
    <row r="25" spans="1:16" x14ac:dyDescent="0.35">
      <c r="B25" t="s">
        <v>111</v>
      </c>
      <c r="E25" s="16">
        <v>293.60000000000002</v>
      </c>
      <c r="F25" s="16">
        <v>359.1</v>
      </c>
      <c r="G25" t="s">
        <v>111</v>
      </c>
    </row>
    <row r="26" spans="1:16" x14ac:dyDescent="0.35">
      <c r="B26" t="s">
        <v>112</v>
      </c>
      <c r="E26" s="16">
        <v>9.3000000000000007</v>
      </c>
      <c r="F26" s="16">
        <v>6.2</v>
      </c>
      <c r="G26" t="s">
        <v>138</v>
      </c>
    </row>
    <row r="27" spans="1:16" x14ac:dyDescent="0.35">
      <c r="B27" t="s">
        <v>113</v>
      </c>
      <c r="E27" s="16">
        <v>0</v>
      </c>
      <c r="F27" s="16">
        <v>0.1</v>
      </c>
      <c r="G27" t="s">
        <v>138</v>
      </c>
    </row>
    <row r="28" spans="1:16" x14ac:dyDescent="0.35">
      <c r="B28" t="s">
        <v>114</v>
      </c>
      <c r="E28" s="16">
        <v>2.7</v>
      </c>
      <c r="F28" s="16">
        <v>2.1</v>
      </c>
      <c r="G28" t="s">
        <v>138</v>
      </c>
    </row>
    <row r="29" spans="1:16" x14ac:dyDescent="0.35">
      <c r="E29" s="7">
        <f>SUM(E22:E28)</f>
        <v>601.29999999999995</v>
      </c>
      <c r="F29" s="7">
        <f>SUM(F22:F28)</f>
        <v>722.30000000000018</v>
      </c>
    </row>
    <row r="30" spans="1:16" x14ac:dyDescent="0.35">
      <c r="B30" t="s">
        <v>115</v>
      </c>
    </row>
    <row r="31" spans="1:16" x14ac:dyDescent="0.35">
      <c r="B31" t="s">
        <v>116</v>
      </c>
      <c r="E31" s="16">
        <v>302.60000000000002</v>
      </c>
      <c r="F31" s="16">
        <v>356</v>
      </c>
      <c r="G31" t="s">
        <v>116</v>
      </c>
    </row>
    <row r="32" spans="1:16" x14ac:dyDescent="0.35">
      <c r="B32" t="s">
        <v>117</v>
      </c>
      <c r="E32" s="16">
        <v>0.6</v>
      </c>
      <c r="F32" s="16">
        <v>2.6</v>
      </c>
      <c r="G32" t="s">
        <v>138</v>
      </c>
    </row>
    <row r="33" spans="2:7" x14ac:dyDescent="0.35">
      <c r="B33" t="s">
        <v>114</v>
      </c>
      <c r="E33" s="16">
        <v>19.600000000000001</v>
      </c>
      <c r="F33" s="16">
        <v>17.7</v>
      </c>
      <c r="G33" t="s">
        <v>114</v>
      </c>
    </row>
    <row r="34" spans="2:7" x14ac:dyDescent="0.35">
      <c r="B34" t="s">
        <v>118</v>
      </c>
      <c r="E34" s="19">
        <v>105.9</v>
      </c>
      <c r="F34" s="19">
        <v>136.4</v>
      </c>
    </row>
    <row r="35" spans="2:7" x14ac:dyDescent="0.35">
      <c r="E35" s="20">
        <f>SUM(E31:E34)</f>
        <v>428.70000000000005</v>
      </c>
      <c r="F35" s="20">
        <f>SUM(F31:F34)</f>
        <v>512.70000000000005</v>
      </c>
    </row>
    <row r="36" spans="2:7" ht="15" thickBot="1" x14ac:dyDescent="0.4">
      <c r="B36" s="13" t="s">
        <v>137</v>
      </c>
      <c r="C36" s="13"/>
      <c r="D36" s="13"/>
      <c r="E36" s="13">
        <f>E29+E35</f>
        <v>1030</v>
      </c>
      <c r="F36" s="13">
        <f>F29+F35</f>
        <v>1235.0000000000002</v>
      </c>
    </row>
    <row r="37" spans="2:7" ht="15" thickTop="1" x14ac:dyDescent="0.35">
      <c r="B37" t="s">
        <v>119</v>
      </c>
    </row>
    <row r="38" spans="2:7" x14ac:dyDescent="0.35">
      <c r="B38" t="s">
        <v>120</v>
      </c>
    </row>
    <row r="39" spans="2:7" x14ac:dyDescent="0.35">
      <c r="B39" t="s">
        <v>121</v>
      </c>
      <c r="E39" s="16">
        <v>-200.1</v>
      </c>
      <c r="F39" s="16">
        <v>-218.7</v>
      </c>
      <c r="G39" t="s">
        <v>121</v>
      </c>
    </row>
    <row r="40" spans="2:7" x14ac:dyDescent="0.35">
      <c r="B40" t="s">
        <v>122</v>
      </c>
      <c r="E40" s="16">
        <v>-2</v>
      </c>
      <c r="F40" s="16">
        <v>-4.9000000000000004</v>
      </c>
      <c r="G40" t="s">
        <v>139</v>
      </c>
    </row>
    <row r="41" spans="2:7" x14ac:dyDescent="0.35">
      <c r="B41" t="s">
        <v>123</v>
      </c>
      <c r="E41" s="16">
        <v>-46.7</v>
      </c>
      <c r="F41" s="16">
        <v>-47.4</v>
      </c>
      <c r="G41" t="s">
        <v>127</v>
      </c>
    </row>
    <row r="42" spans="2:7" x14ac:dyDescent="0.35">
      <c r="B42" t="s">
        <v>124</v>
      </c>
      <c r="E42" s="16">
        <v>-1</v>
      </c>
      <c r="F42" s="16">
        <v>-1.8</v>
      </c>
      <c r="G42" t="s">
        <v>139</v>
      </c>
    </row>
    <row r="43" spans="2:7" x14ac:dyDescent="0.35">
      <c r="E43" s="7">
        <f>SUM(E39:E42)</f>
        <v>-249.8</v>
      </c>
      <c r="F43" s="7">
        <f>SUM(F39:F42)</f>
        <v>-272.8</v>
      </c>
    </row>
    <row r="44" spans="2:7" x14ac:dyDescent="0.35">
      <c r="B44" t="s">
        <v>125</v>
      </c>
    </row>
    <row r="45" spans="2:7" x14ac:dyDescent="0.35">
      <c r="B45" t="s">
        <v>121</v>
      </c>
      <c r="E45" s="16">
        <v>-1.3</v>
      </c>
      <c r="F45" s="16">
        <v>-0.9</v>
      </c>
      <c r="G45" t="s">
        <v>121</v>
      </c>
    </row>
    <row r="46" spans="2:7" x14ac:dyDescent="0.35">
      <c r="B46" t="s">
        <v>126</v>
      </c>
      <c r="E46" s="16">
        <v>-0.4</v>
      </c>
      <c r="F46" s="16">
        <v>-3</v>
      </c>
      <c r="G46" t="s">
        <v>139</v>
      </c>
    </row>
    <row r="47" spans="2:7" x14ac:dyDescent="0.35">
      <c r="B47" t="s">
        <v>123</v>
      </c>
      <c r="E47" s="16">
        <v>-293.89999999999998</v>
      </c>
      <c r="F47" s="16">
        <v>-363</v>
      </c>
      <c r="G47" t="s">
        <v>127</v>
      </c>
    </row>
    <row r="48" spans="2:7" x14ac:dyDescent="0.35">
      <c r="B48" t="s">
        <v>127</v>
      </c>
      <c r="E48" s="16">
        <v>-118.6</v>
      </c>
      <c r="F48" s="16">
        <v>-120</v>
      </c>
      <c r="G48" t="s">
        <v>127</v>
      </c>
    </row>
    <row r="49" spans="2:7" x14ac:dyDescent="0.35">
      <c r="B49" t="s">
        <v>128</v>
      </c>
      <c r="E49" s="16">
        <v>-0.6</v>
      </c>
      <c r="F49" s="16">
        <v>0</v>
      </c>
      <c r="G49" t="s">
        <v>139</v>
      </c>
    </row>
    <row r="50" spans="2:7" x14ac:dyDescent="0.35">
      <c r="B50" t="s">
        <v>124</v>
      </c>
      <c r="E50" s="16">
        <v>-4.0999999999999996</v>
      </c>
      <c r="F50" s="16">
        <v>-6</v>
      </c>
      <c r="G50" t="s">
        <v>139</v>
      </c>
    </row>
    <row r="51" spans="2:7" x14ac:dyDescent="0.35">
      <c r="E51" s="20">
        <f>SUM(E45:E50)</f>
        <v>-418.9</v>
      </c>
      <c r="F51" s="20">
        <f>SUM(F45:F50)</f>
        <v>-492.9</v>
      </c>
    </row>
    <row r="52" spans="2:7" x14ac:dyDescent="0.35">
      <c r="B52" s="7" t="s">
        <v>103</v>
      </c>
      <c r="C52" s="7"/>
      <c r="D52" s="7"/>
      <c r="E52" s="7">
        <f>E51+E43</f>
        <v>-668.7</v>
      </c>
      <c r="F52" s="7">
        <f>F51+F43</f>
        <v>-765.7</v>
      </c>
    </row>
    <row r="53" spans="2:7" ht="15" thickBot="1" x14ac:dyDescent="0.4">
      <c r="B53" s="13" t="s">
        <v>129</v>
      </c>
      <c r="C53" s="13"/>
      <c r="D53" s="13"/>
      <c r="E53" s="13">
        <f>E36+E52</f>
        <v>361.29999999999995</v>
      </c>
      <c r="F53" s="13">
        <f>F36+F52</f>
        <v>469.30000000000018</v>
      </c>
    </row>
    <row r="54" spans="2:7" ht="15" thickTop="1" x14ac:dyDescent="0.35">
      <c r="B54" t="s">
        <v>130</v>
      </c>
    </row>
    <row r="55" spans="2:7" x14ac:dyDescent="0.35">
      <c r="B55" t="s">
        <v>131</v>
      </c>
      <c r="E55" s="16">
        <v>3</v>
      </c>
      <c r="F55" s="16">
        <v>3</v>
      </c>
    </row>
    <row r="56" spans="2:7" x14ac:dyDescent="0.35">
      <c r="B56" t="s">
        <v>132</v>
      </c>
      <c r="E56" s="16">
        <v>147.1</v>
      </c>
      <c r="F56" s="16">
        <v>147.1</v>
      </c>
    </row>
    <row r="57" spans="2:7" x14ac:dyDescent="0.35">
      <c r="B57" t="s">
        <v>133</v>
      </c>
      <c r="E57" s="16">
        <v>-2.2000000000000002</v>
      </c>
      <c r="F57" s="16">
        <v>-2.2000000000000002</v>
      </c>
    </row>
    <row r="58" spans="2:7" x14ac:dyDescent="0.35">
      <c r="B58" t="s">
        <v>134</v>
      </c>
      <c r="E58" s="16">
        <v>-6.7</v>
      </c>
      <c r="F58" s="16">
        <v>-18.399999999999999</v>
      </c>
    </row>
    <row r="59" spans="2:7" x14ac:dyDescent="0.35">
      <c r="B59" t="s">
        <v>135</v>
      </c>
      <c r="E59" s="16">
        <v>214.3</v>
      </c>
      <c r="F59" s="16">
        <v>337</v>
      </c>
    </row>
    <row r="60" spans="2:7" x14ac:dyDescent="0.35">
      <c r="B60" t="s">
        <v>136</v>
      </c>
      <c r="E60" s="16">
        <v>5.8</v>
      </c>
      <c r="F60" s="16">
        <v>2.8</v>
      </c>
    </row>
    <row r="61" spans="2:7" ht="15" thickBot="1" x14ac:dyDescent="0.4">
      <c r="B61" s="13" t="s">
        <v>104</v>
      </c>
      <c r="C61" s="13"/>
      <c r="D61" s="13"/>
      <c r="E61" s="13">
        <f>SUM(E55:E60)</f>
        <v>361.3</v>
      </c>
      <c r="F61" s="13">
        <f>SUM(F55:F60)</f>
        <v>469.3</v>
      </c>
    </row>
    <row r="62" spans="2:7" ht="15" thickTop="1" x14ac:dyDescent="0.35">
      <c r="B62" t="s">
        <v>42</v>
      </c>
      <c r="E62">
        <f>ROUND(ABS(E61-E53),4)</f>
        <v>0</v>
      </c>
      <c r="F62">
        <f>ROUND(ABS(F61-F53),4)</f>
        <v>0</v>
      </c>
    </row>
  </sheetData>
  <dataValidations count="1">
    <dataValidation type="list" allowBlank="1" showInputMessage="1" showErrorMessage="1" sqref="G22:G53" xr:uid="{683FDA50-CB91-4A5E-943E-ECCBBBF8921E}">
      <formula1>$C$4:$C$13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5022-ECD2-4B95-BBEB-187842FDEE85}">
  <sheetPr codeName="Sheet6"/>
  <dimension ref="A1:Y67"/>
  <sheetViews>
    <sheetView showGridLines="0" zoomScale="125" zoomScaleNormal="125" workbookViewId="0"/>
  </sheetViews>
  <sheetFormatPr defaultColWidth="0" defaultRowHeight="14.4" x14ac:dyDescent="0.35"/>
  <cols>
    <col min="1" max="2" width="1.77734375" customWidth="1"/>
    <col min="3" max="3" width="30.77734375" customWidth="1"/>
    <col min="4" max="4" width="0.88671875" customWidth="1"/>
    <col min="5" max="16" width="8.88671875" customWidth="1"/>
    <col min="17" max="17" width="1.77734375" customWidth="1"/>
    <col min="18" max="25" width="8.88671875" customWidth="1"/>
    <col min="26" max="16384" width="8.88671875" hidden="1"/>
  </cols>
  <sheetData>
    <row r="1" spans="1:17" x14ac:dyDescent="0.35">
      <c r="A1" s="15" t="str">
        <f>"DCF FCFF valuation for "&amp;CoName</f>
        <v>DCF FCFF valuation for Watches of Switzerland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A2" t="str">
        <f>CFS!$A$2</f>
        <v>All diagnostics passed</v>
      </c>
      <c r="E2">
        <f>IS!E2</f>
        <v>-1</v>
      </c>
      <c r="F2">
        <f>IS!F2</f>
        <v>0</v>
      </c>
      <c r="G2">
        <f>IS!G2</f>
        <v>1</v>
      </c>
      <c r="H2">
        <f>IS!H2</f>
        <v>2</v>
      </c>
      <c r="I2">
        <f>IS!I2</f>
        <v>3</v>
      </c>
      <c r="J2">
        <f>IS!J2</f>
        <v>4</v>
      </c>
      <c r="K2">
        <f>IS!K2</f>
        <v>5</v>
      </c>
      <c r="L2">
        <f>IS!L2</f>
        <v>6</v>
      </c>
      <c r="M2">
        <f>IS!M2</f>
        <v>7</v>
      </c>
      <c r="N2">
        <f>IS!N2</f>
        <v>8</v>
      </c>
      <c r="O2">
        <f>IS!O2</f>
        <v>9</v>
      </c>
      <c r="P2">
        <f>IS!P2</f>
        <v>10</v>
      </c>
    </row>
    <row r="3" spans="1:17" x14ac:dyDescent="0.35">
      <c r="G3">
        <f>Stub</f>
        <v>0.87704918032786883</v>
      </c>
      <c r="H3">
        <f>G3+1</f>
        <v>1.8770491803278688</v>
      </c>
      <c r="I3">
        <f t="shared" ref="I3:P3" si="0">H3+1</f>
        <v>2.8770491803278686</v>
      </c>
      <c r="J3">
        <f t="shared" si="0"/>
        <v>3.8770491803278686</v>
      </c>
      <c r="K3">
        <f t="shared" si="0"/>
        <v>4.8770491803278686</v>
      </c>
      <c r="L3">
        <f t="shared" si="0"/>
        <v>5.8770491803278686</v>
      </c>
      <c r="M3">
        <f t="shared" si="0"/>
        <v>6.8770491803278686</v>
      </c>
      <c r="N3">
        <f t="shared" si="0"/>
        <v>7.8770491803278686</v>
      </c>
      <c r="O3">
        <f t="shared" si="0"/>
        <v>8.8770491803278695</v>
      </c>
      <c r="P3">
        <f t="shared" si="0"/>
        <v>9.8770491803278695</v>
      </c>
    </row>
    <row r="4" spans="1:17" ht="16.2" x14ac:dyDescent="0.5">
      <c r="E4" s="14">
        <f>IS!E3</f>
        <v>44926</v>
      </c>
      <c r="F4" s="14">
        <f>IS!F3</f>
        <v>45291</v>
      </c>
      <c r="G4" s="14">
        <f>IS!G3</f>
        <v>45657</v>
      </c>
      <c r="H4" s="14">
        <f>IS!H3</f>
        <v>46022</v>
      </c>
      <c r="I4" s="14">
        <f>IS!I3</f>
        <v>46387</v>
      </c>
      <c r="J4" s="14">
        <f>IS!J3</f>
        <v>46752</v>
      </c>
      <c r="K4" s="14">
        <f>IS!K3</f>
        <v>47118</v>
      </c>
      <c r="L4" s="14">
        <f>IS!L3</f>
        <v>47483</v>
      </c>
      <c r="M4" s="14">
        <f>IS!M3</f>
        <v>47848</v>
      </c>
      <c r="N4" s="14">
        <f>IS!N3</f>
        <v>48213</v>
      </c>
      <c r="O4" s="14">
        <f>IS!O3</f>
        <v>48579</v>
      </c>
      <c r="P4" s="14">
        <f>IS!P3</f>
        <v>48944</v>
      </c>
    </row>
    <row r="5" spans="1:17" x14ac:dyDescent="0.35">
      <c r="B5" t="s">
        <v>171</v>
      </c>
    </row>
    <row r="6" spans="1:17" x14ac:dyDescent="0.35">
      <c r="C6" t="str">
        <f>IS!C4</f>
        <v>Revenue</v>
      </c>
      <c r="E6">
        <f>IS!E4</f>
        <v>1238</v>
      </c>
      <c r="F6">
        <f>IS!F4</f>
        <v>1542.8</v>
      </c>
      <c r="G6">
        <f>IS!G4</f>
        <v>1820.5039999999999</v>
      </c>
      <c r="H6">
        <f>IS!H4</f>
        <v>2148.19472</v>
      </c>
      <c r="I6">
        <f>IS!I4</f>
        <v>2491.9058751999996</v>
      </c>
      <c r="J6">
        <f>IS!J4</f>
        <v>2865.6917564799992</v>
      </c>
      <c r="K6">
        <f>IS!K4</f>
        <v>3209.5747672575994</v>
      </c>
      <c r="L6">
        <f>IS!L4</f>
        <v>3530.5322439833599</v>
      </c>
      <c r="M6">
        <f>IS!M4</f>
        <v>3812.9748235020288</v>
      </c>
      <c r="N6">
        <f>IS!N4</f>
        <v>4041.7533129121507</v>
      </c>
      <c r="O6">
        <f>IS!O4</f>
        <v>4163.0059122995153</v>
      </c>
      <c r="P6">
        <f>IS!P4</f>
        <v>4287.8960896685012</v>
      </c>
    </row>
    <row r="7" spans="1:17" x14ac:dyDescent="0.35">
      <c r="C7" t="str">
        <f>IS!C5</f>
        <v>Cost of sales</v>
      </c>
      <c r="E7">
        <f>IS!E5</f>
        <v>-1056.7</v>
      </c>
      <c r="F7">
        <f>IS!F5</f>
        <v>-1324.1</v>
      </c>
      <c r="G7">
        <f>IS!G5</f>
        <v>-1565.6334399999998</v>
      </c>
      <c r="H7">
        <f>IS!H5</f>
        <v>-1851.7438486399999</v>
      </c>
      <c r="I7">
        <f>IS!I5</f>
        <v>-2153.0066761727999</v>
      </c>
      <c r="J7">
        <f>IS!J5</f>
        <v>-2475.9576775987193</v>
      </c>
      <c r="K7">
        <f>IS!K5</f>
        <v>-2773.0725989105658</v>
      </c>
      <c r="L7">
        <f>IS!L5</f>
        <v>-3050.379858801623</v>
      </c>
      <c r="M7">
        <f>IS!M5</f>
        <v>-3294.410247505753</v>
      </c>
      <c r="N7">
        <f>IS!N5</f>
        <v>-3492.074862356098</v>
      </c>
      <c r="O7">
        <f>IS!O5</f>
        <v>-3596.8371082267813</v>
      </c>
      <c r="P7">
        <f>IS!P5</f>
        <v>-3704.7422214735848</v>
      </c>
    </row>
    <row r="8" spans="1:17" x14ac:dyDescent="0.35">
      <c r="C8" t="str">
        <f>IS!C7</f>
        <v>Administrative expenses</v>
      </c>
      <c r="E8">
        <f>IS!E7</f>
        <v>-37.6</v>
      </c>
      <c r="F8">
        <f>IS!F7</f>
        <v>-39.9</v>
      </c>
      <c r="G8">
        <f>IS!G7</f>
        <v>-40.490519999999997</v>
      </c>
      <c r="H8">
        <f>IS!H7</f>
        <v>-47.889927119999996</v>
      </c>
      <c r="I8">
        <f>IS!I7</f>
        <v>-55.681207142399998</v>
      </c>
      <c r="J8">
        <f>IS!J7</f>
        <v>-64.033388213759977</v>
      </c>
      <c r="K8">
        <f>IS!K7</f>
        <v>-71.717394799411181</v>
      </c>
      <c r="L8">
        <f>IS!L7</f>
        <v>-78.889134279352319</v>
      </c>
      <c r="M8">
        <f>IS!M7</f>
        <v>-85.200265021700503</v>
      </c>
      <c r="N8">
        <f>IS!N7</f>
        <v>-90.312280923002533</v>
      </c>
      <c r="O8">
        <f>IS!O7</f>
        <v>-93.021649350692613</v>
      </c>
      <c r="P8">
        <f>IS!P7</f>
        <v>-95.812298831213397</v>
      </c>
    </row>
    <row r="9" spans="1:17" x14ac:dyDescent="0.35">
      <c r="C9" s="7" t="str">
        <f>IS!C8</f>
        <v>Operating profit</v>
      </c>
      <c r="D9" s="7"/>
      <c r="E9" s="7">
        <f>SUM(E6:E8)</f>
        <v>143.69999999999996</v>
      </c>
      <c r="F9" s="7">
        <f t="shared" ref="F9:P9" si="1">SUM(F6:F8)</f>
        <v>178.80000000000004</v>
      </c>
      <c r="G9" s="7">
        <f t="shared" si="1"/>
        <v>214.38004000000006</v>
      </c>
      <c r="H9" s="7">
        <f t="shared" si="1"/>
        <v>248.56094424000008</v>
      </c>
      <c r="I9" s="7">
        <f t="shared" si="1"/>
        <v>283.21799188479974</v>
      </c>
      <c r="J9" s="7">
        <f t="shared" si="1"/>
        <v>325.70069066751989</v>
      </c>
      <c r="K9" s="7">
        <f t="shared" si="1"/>
        <v>364.78477354762242</v>
      </c>
      <c r="L9" s="7">
        <f t="shared" si="1"/>
        <v>401.26325090238458</v>
      </c>
      <c r="M9" s="7">
        <f t="shared" si="1"/>
        <v>433.36431097457535</v>
      </c>
      <c r="N9" s="7">
        <f t="shared" si="1"/>
        <v>459.36616963305016</v>
      </c>
      <c r="O9" s="7">
        <f t="shared" si="1"/>
        <v>473.14715472204142</v>
      </c>
      <c r="P9" s="7">
        <f t="shared" si="1"/>
        <v>487.341569363703</v>
      </c>
    </row>
    <row r="10" spans="1:17" x14ac:dyDescent="0.35">
      <c r="C10" t="s">
        <v>173</v>
      </c>
      <c r="E10">
        <f t="shared" ref="E10:P10" si="2">E67</f>
        <v>-28.664999999999999</v>
      </c>
      <c r="F10">
        <f t="shared" si="2"/>
        <v>-37.787999999999997</v>
      </c>
      <c r="G10">
        <f t="shared" si="2"/>
        <v>-53.989678169000022</v>
      </c>
      <c r="H10">
        <f t="shared" si="2"/>
        <v>-62.439066602833222</v>
      </c>
      <c r="I10">
        <f t="shared" si="2"/>
        <v>-71.004315174877888</v>
      </c>
      <c r="J10">
        <f t="shared" si="2"/>
        <v>-81.850266781589966</v>
      </c>
      <c r="K10">
        <f t="shared" si="2"/>
        <v>-91.836354432984322</v>
      </c>
      <c r="L10">
        <f t="shared" si="2"/>
        <v>-101.20045107764656</v>
      </c>
      <c r="M10">
        <f t="shared" si="2"/>
        <v>-109.2964871638583</v>
      </c>
      <c r="N10">
        <f t="shared" si="2"/>
        <v>-115.85427639368989</v>
      </c>
      <c r="O10">
        <f t="shared" si="2"/>
        <v>-119.32990468550051</v>
      </c>
      <c r="P10">
        <f t="shared" si="2"/>
        <v>-122.9098018260656</v>
      </c>
    </row>
    <row r="11" spans="1:17" x14ac:dyDescent="0.35">
      <c r="C11" s="7" t="s">
        <v>174</v>
      </c>
      <c r="D11" s="7"/>
      <c r="E11" s="7">
        <f>SUM(E9:E10)</f>
        <v>115.03499999999997</v>
      </c>
      <c r="F11" s="7">
        <f t="shared" ref="F11:P11" si="3">SUM(F9:F10)</f>
        <v>141.01200000000006</v>
      </c>
      <c r="G11" s="7">
        <f t="shared" si="3"/>
        <v>160.39036183100004</v>
      </c>
      <c r="H11" s="7">
        <f t="shared" si="3"/>
        <v>186.12187763716685</v>
      </c>
      <c r="I11" s="7">
        <f t="shared" si="3"/>
        <v>212.21367670992186</v>
      </c>
      <c r="J11" s="7">
        <f t="shared" si="3"/>
        <v>243.85042388592993</v>
      </c>
      <c r="K11" s="7">
        <f t="shared" si="3"/>
        <v>272.94841911463811</v>
      </c>
      <c r="L11" s="7">
        <f t="shared" si="3"/>
        <v>300.06279982473802</v>
      </c>
      <c r="M11" s="7">
        <f t="shared" si="3"/>
        <v>324.06782381071707</v>
      </c>
      <c r="N11" s="7">
        <f t="shared" si="3"/>
        <v>343.51189323936029</v>
      </c>
      <c r="O11" s="7">
        <f t="shared" si="3"/>
        <v>353.81725003654094</v>
      </c>
      <c r="P11" s="7">
        <f t="shared" si="3"/>
        <v>364.43176753763737</v>
      </c>
    </row>
    <row r="12" spans="1:17" x14ac:dyDescent="0.35">
      <c r="B12" t="s">
        <v>172</v>
      </c>
    </row>
    <row r="13" spans="1:17" x14ac:dyDescent="0.35">
      <c r="C13" t="str">
        <f>CFS!C11</f>
        <v>Increase in inventory</v>
      </c>
      <c r="E13">
        <f>CFS!E11</f>
        <v>-50.6</v>
      </c>
      <c r="F13">
        <f>CFS!F11</f>
        <v>-51.5</v>
      </c>
      <c r="G13">
        <f>CFS!G11</f>
        <v>-64.93913196888451</v>
      </c>
      <c r="H13">
        <f>CFS!H11</f>
        <v>-76.924179046778931</v>
      </c>
      <c r="I13">
        <f>CFS!I11</f>
        <v>-80.998086701666637</v>
      </c>
      <c r="J13">
        <f>CFS!J11</f>
        <v>-99.483171487798472</v>
      </c>
      <c r="K13">
        <f>CFS!K11</f>
        <v>-96.596266654810393</v>
      </c>
      <c r="L13">
        <f>CFS!L11</f>
        <v>-110.92290395642283</v>
      </c>
      <c r="M13">
        <f>CFS!M11</f>
        <v>-88.920662185340575</v>
      </c>
      <c r="N13">
        <f>CFS!N11</f>
        <v>-77.621720900135415</v>
      </c>
      <c r="O13">
        <f>CFS!O11</f>
        <v>-51.280880170489809</v>
      </c>
      <c r="P13">
        <f>CFS!P11</f>
        <v>-33.110610092169509</v>
      </c>
    </row>
    <row r="14" spans="1:17" x14ac:dyDescent="0.35">
      <c r="C14" t="str">
        <f>CFS!C12</f>
        <v>Decrease/(increase) in debtors</v>
      </c>
      <c r="E14">
        <f>CFS!E12</f>
        <v>-6.4</v>
      </c>
      <c r="F14">
        <f>CFS!F12</f>
        <v>1.5</v>
      </c>
      <c r="G14">
        <f>CFS!G12</f>
        <v>3.1859999999999999</v>
      </c>
      <c r="H14">
        <f>CFS!H12</f>
        <v>3.7594800000000035</v>
      </c>
      <c r="I14">
        <f>CFS!I12</f>
        <v>3.943276799999996</v>
      </c>
      <c r="J14">
        <f>CFS!J12</f>
        <v>4.2883135199999955</v>
      </c>
      <c r="K14">
        <f>CFS!K12</f>
        <v>3.9452484384000002</v>
      </c>
      <c r="L14">
        <f>CFS!L12</f>
        <v>3.682231875840003</v>
      </c>
      <c r="M14">
        <f>CFS!M12</f>
        <v>3.2403640507392026</v>
      </c>
      <c r="N14">
        <f>CFS!N12</f>
        <v>2.6246948810987547</v>
      </c>
      <c r="O14">
        <f>CFS!O12</f>
        <v>1.3910882869823453</v>
      </c>
      <c r="P14">
        <f>CFS!P12</f>
        <v>1.4328209355918133</v>
      </c>
    </row>
    <row r="15" spans="1:17" x14ac:dyDescent="0.35">
      <c r="C15" t="str">
        <f>CFS!C13</f>
        <v>Increase in creditors, provisions and pensions</v>
      </c>
      <c r="E15">
        <f>CFS!E13</f>
        <v>27.4</v>
      </c>
      <c r="F15">
        <f>CFS!F13</f>
        <v>22.1</v>
      </c>
      <c r="G15">
        <f>CFS!G13</f>
        <v>40.057958933615254</v>
      </c>
      <c r="H15">
        <f>CFS!H13</f>
        <v>47.450982355822077</v>
      </c>
      <c r="I15">
        <f>CFS!I13</f>
        <v>49.963988313724656</v>
      </c>
      <c r="J15">
        <f>CFS!J13</f>
        <v>53.560939440474272</v>
      </c>
      <c r="K15">
        <f>CFS!K13</f>
        <v>49.276064285236316</v>
      </c>
      <c r="L15">
        <f>CFS!L13</f>
        <v>45.990993332887399</v>
      </c>
      <c r="M15">
        <f>CFS!M13</f>
        <v>40.472074132940861</v>
      </c>
      <c r="N15">
        <f>CFS!N13</f>
        <v>32.782380047681954</v>
      </c>
      <c r="O15">
        <f>CFS!O13</f>
        <v>17.374661425271597</v>
      </c>
      <c r="P15">
        <f>CFS!P13</f>
        <v>17.895901268029547</v>
      </c>
    </row>
    <row r="16" spans="1:17" x14ac:dyDescent="0.35">
      <c r="C16" t="str">
        <f>CFS!C18</f>
        <v>Property, plant and equipment additions</v>
      </c>
      <c r="D16">
        <f>CFS!D18</f>
        <v>0</v>
      </c>
      <c r="E16">
        <f>CFS!E18</f>
        <v>-41</v>
      </c>
      <c r="F16">
        <f>CFS!F18</f>
        <v>-75</v>
      </c>
      <c r="G16">
        <f>CFS!G18</f>
        <v>-88.5</v>
      </c>
      <c r="H16">
        <f>CFS!H18</f>
        <v>-104.43</v>
      </c>
      <c r="I16">
        <f>CFS!I18</f>
        <v>-121.13879999999999</v>
      </c>
      <c r="J16">
        <f>CFS!J18</f>
        <v>-139.30961999999997</v>
      </c>
      <c r="K16">
        <f>CFS!K18</f>
        <v>-156.02677439999997</v>
      </c>
      <c r="L16">
        <f>CFS!L18</f>
        <v>-171.62945184</v>
      </c>
      <c r="M16">
        <f>CFS!M18</f>
        <v>-185.35980798720001</v>
      </c>
      <c r="N16">
        <f>CFS!N18</f>
        <v>-196.48139646643202</v>
      </c>
      <c r="O16">
        <f>CFS!O18</f>
        <v>-202.37583836042498</v>
      </c>
      <c r="P16">
        <f>CFS!P18</f>
        <v>-208.44711351123775</v>
      </c>
    </row>
    <row r="17" spans="2:16" x14ac:dyDescent="0.35">
      <c r="C17" t="str">
        <f>CFS!C5</f>
        <v>Depreciation</v>
      </c>
      <c r="E17">
        <f>CFS!E5</f>
        <v>68.2</v>
      </c>
      <c r="F17">
        <f>CFS!F5</f>
        <v>82.6</v>
      </c>
      <c r="G17">
        <f>CFS!G5</f>
        <v>88.5</v>
      </c>
      <c r="H17">
        <f>CFS!H5</f>
        <v>104.43</v>
      </c>
      <c r="I17">
        <f>CFS!I5</f>
        <v>121.13879999999999</v>
      </c>
      <c r="J17">
        <f>CFS!J5</f>
        <v>139.30961999999997</v>
      </c>
      <c r="K17">
        <f>CFS!K5</f>
        <v>156.02677439999997</v>
      </c>
      <c r="L17">
        <f>CFS!L5</f>
        <v>171.62945184</v>
      </c>
      <c r="M17">
        <f>CFS!M5</f>
        <v>185.35980798720001</v>
      </c>
      <c r="N17">
        <f>CFS!N5</f>
        <v>196.48139646643202</v>
      </c>
      <c r="O17">
        <f>CFS!O5</f>
        <v>202.37583836042498</v>
      </c>
      <c r="P17">
        <f>CFS!P5</f>
        <v>208.44711351123775</v>
      </c>
    </row>
    <row r="18" spans="2:16" x14ac:dyDescent="0.35">
      <c r="C18" t="str">
        <f>CFS!C6</f>
        <v>Amortisation</v>
      </c>
      <c r="E18">
        <f>CFS!E6</f>
        <v>2.5</v>
      </c>
      <c r="F18">
        <f>CFS!F6</f>
        <v>3.2</v>
      </c>
      <c r="G18">
        <f>CFS!G6</f>
        <v>0</v>
      </c>
      <c r="H18">
        <f>CFS!H6</f>
        <v>0</v>
      </c>
      <c r="I18">
        <f>CFS!I6</f>
        <v>0</v>
      </c>
      <c r="J18">
        <f>CFS!J6</f>
        <v>0</v>
      </c>
      <c r="K18">
        <f>CFS!K6</f>
        <v>0</v>
      </c>
      <c r="L18">
        <f>CFS!L6</f>
        <v>0</v>
      </c>
      <c r="M18">
        <f>CFS!M6</f>
        <v>0</v>
      </c>
      <c r="N18">
        <f>CFS!N6</f>
        <v>0</v>
      </c>
      <c r="O18">
        <f>CFS!O6</f>
        <v>0</v>
      </c>
      <c r="P18">
        <f>CFS!P6</f>
        <v>0</v>
      </c>
    </row>
    <row r="19" spans="2:16" x14ac:dyDescent="0.35">
      <c r="C19" s="7" t="s">
        <v>175</v>
      </c>
      <c r="D19" s="7"/>
      <c r="E19" s="7">
        <f>SUM(E13:E18)</f>
        <v>0.10000000000000853</v>
      </c>
      <c r="F19" s="7">
        <f t="shared" ref="F19:P19" si="4">SUM(F13:F18)</f>
        <v>-17.100000000000012</v>
      </c>
      <c r="G19" s="7">
        <f t="shared" si="4"/>
        <v>-21.695173035269249</v>
      </c>
      <c r="H19" s="7">
        <f t="shared" si="4"/>
        <v>-25.713716690956858</v>
      </c>
      <c r="I19" s="7">
        <f t="shared" si="4"/>
        <v>-27.090821587941988</v>
      </c>
      <c r="J19" s="7">
        <f t="shared" si="4"/>
        <v>-41.633918527324198</v>
      </c>
      <c r="K19" s="7">
        <f t="shared" si="4"/>
        <v>-43.374953931174076</v>
      </c>
      <c r="L19" s="7">
        <f t="shared" si="4"/>
        <v>-61.249678747695441</v>
      </c>
      <c r="M19" s="7">
        <f t="shared" si="4"/>
        <v>-45.208224001660511</v>
      </c>
      <c r="N19" s="7">
        <f t="shared" si="4"/>
        <v>-42.214645971354713</v>
      </c>
      <c r="O19" s="7">
        <f t="shared" si="4"/>
        <v>-32.515130458235859</v>
      </c>
      <c r="P19" s="7">
        <f t="shared" si="4"/>
        <v>-13.781887888548141</v>
      </c>
    </row>
    <row r="20" spans="2:16" x14ac:dyDescent="0.35">
      <c r="B20" s="7" t="s">
        <v>180</v>
      </c>
      <c r="C20" s="7"/>
      <c r="D20" s="7"/>
      <c r="E20" s="7">
        <f>E11+E19</f>
        <v>115.13499999999998</v>
      </c>
      <c r="F20" s="7">
        <f t="shared" ref="F20:P20" si="5">F11+F19</f>
        <v>123.91200000000005</v>
      </c>
      <c r="G20" s="7">
        <f t="shared" si="5"/>
        <v>138.69518879573079</v>
      </c>
      <c r="H20" s="7">
        <f t="shared" si="5"/>
        <v>160.40816094620999</v>
      </c>
      <c r="I20" s="7">
        <f t="shared" si="5"/>
        <v>185.12285512197985</v>
      </c>
      <c r="J20" s="7">
        <f t="shared" si="5"/>
        <v>202.21650535860573</v>
      </c>
      <c r="K20" s="7">
        <f t="shared" si="5"/>
        <v>229.57346518346404</v>
      </c>
      <c r="L20" s="7">
        <f t="shared" si="5"/>
        <v>238.81312107704258</v>
      </c>
      <c r="M20" s="7">
        <f t="shared" si="5"/>
        <v>278.85959980905659</v>
      </c>
      <c r="N20" s="7">
        <f t="shared" si="5"/>
        <v>301.29724726800555</v>
      </c>
      <c r="O20" s="7">
        <f t="shared" si="5"/>
        <v>321.30211957830511</v>
      </c>
      <c r="P20" s="7">
        <f t="shared" si="5"/>
        <v>350.64987964908926</v>
      </c>
    </row>
    <row r="21" spans="2:16" x14ac:dyDescent="0.35">
      <c r="B21" t="s">
        <v>6</v>
      </c>
      <c r="G21">
        <f>G20*G3</f>
        <v>121.6425016487147</v>
      </c>
    </row>
    <row r="22" spans="2:16" x14ac:dyDescent="0.35">
      <c r="B22" t="s">
        <v>26</v>
      </c>
      <c r="P22">
        <f>Control!$E$73</f>
        <v>3485.3091742223055</v>
      </c>
    </row>
    <row r="23" spans="2:16" x14ac:dyDescent="0.35">
      <c r="B23" s="7" t="s">
        <v>181</v>
      </c>
      <c r="C23" s="7"/>
      <c r="D23" s="7"/>
      <c r="E23" s="7"/>
      <c r="F23" s="7"/>
      <c r="G23" s="7">
        <f>IF(G3&lt;1,G21,G20+G22)</f>
        <v>121.6425016487147</v>
      </c>
      <c r="H23" s="7">
        <f t="shared" ref="H23:P23" si="6">IF(H3&lt;1,H21,H20+H22)</f>
        <v>160.40816094620999</v>
      </c>
      <c r="I23" s="7">
        <f t="shared" si="6"/>
        <v>185.12285512197985</v>
      </c>
      <c r="J23" s="7">
        <f t="shared" si="6"/>
        <v>202.21650535860573</v>
      </c>
      <c r="K23" s="7">
        <f t="shared" si="6"/>
        <v>229.57346518346404</v>
      </c>
      <c r="L23" s="7">
        <f t="shared" si="6"/>
        <v>238.81312107704258</v>
      </c>
      <c r="M23" s="7">
        <f t="shared" si="6"/>
        <v>278.85959980905659</v>
      </c>
      <c r="N23" s="7">
        <f t="shared" si="6"/>
        <v>301.29724726800555</v>
      </c>
      <c r="O23" s="7">
        <f t="shared" si="6"/>
        <v>321.30211957830511</v>
      </c>
      <c r="P23" s="7">
        <f t="shared" si="6"/>
        <v>3835.9590538713946</v>
      </c>
    </row>
    <row r="24" spans="2:16" x14ac:dyDescent="0.35">
      <c r="B24" t="str">
        <f>+"Discount factors using a WACC of "&amp;TEXT(WACC,"0.0%")</f>
        <v>Discount factors using a WACC of 10.6%</v>
      </c>
      <c r="G24" s="2">
        <f t="shared" ref="G24:P24" si="7">1/(1+WACC)^G2</f>
        <v>0.90409939940821993</v>
      </c>
      <c r="H24" s="2">
        <f t="shared" si="7"/>
        <v>0.81739572401030403</v>
      </c>
      <c r="I24" s="2">
        <f t="shared" si="7"/>
        <v>0.73900698315656299</v>
      </c>
      <c r="J24" s="2">
        <f t="shared" si="7"/>
        <v>0.66813576963032917</v>
      </c>
      <c r="K24" s="2">
        <f t="shared" si="7"/>
        <v>0.60406114804592936</v>
      </c>
      <c r="L24" s="2">
        <f t="shared" si="7"/>
        <v>0.54613132115416452</v>
      </c>
      <c r="M24" s="2">
        <f t="shared" si="7"/>
        <v>0.49375699945349794</v>
      </c>
      <c r="N24" s="2">
        <f t="shared" si="7"/>
        <v>0.44640540665951228</v>
      </c>
      <c r="O24" s="2">
        <f t="shared" si="7"/>
        <v>0.40359486005344725</v>
      </c>
      <c r="P24" s="2">
        <f t="shared" si="7"/>
        <v>0.3648898705785662</v>
      </c>
    </row>
    <row r="25" spans="2:16" x14ac:dyDescent="0.35">
      <c r="B25" s="7" t="s">
        <v>182</v>
      </c>
      <c r="C25" s="7"/>
      <c r="D25" s="7"/>
      <c r="E25" s="7"/>
      <c r="F25" s="7"/>
      <c r="G25" s="7">
        <f>G23*G24</f>
        <v>109.97691268311637</v>
      </c>
      <c r="H25" s="7">
        <f>H23*H24</f>
        <v>131.11694485378868</v>
      </c>
      <c r="I25" s="7">
        <f t="shared" ref="I25:P25" si="8">I23*I24</f>
        <v>136.80708267702383</v>
      </c>
      <c r="J25" s="7">
        <f t="shared" si="8"/>
        <v>135.10808043972762</v>
      </c>
      <c r="K25" s="7">
        <f t="shared" si="8"/>
        <v>138.67641093960549</v>
      </c>
      <c r="L25" s="7">
        <f t="shared" si="8"/>
        <v>130.42332532275472</v>
      </c>
      <c r="M25" s="7">
        <f t="shared" si="8"/>
        <v>137.68887927052302</v>
      </c>
      <c r="N25" s="7">
        <f t="shared" si="8"/>
        <v>134.50072019206564</v>
      </c>
      <c r="O25" s="7">
        <f t="shared" si="8"/>
        <v>129.67588398608203</v>
      </c>
      <c r="P25" s="7">
        <f t="shared" si="8"/>
        <v>1399.7026027118125</v>
      </c>
    </row>
    <row r="26" spans="2:16" x14ac:dyDescent="0.35">
      <c r="C26" t="s">
        <v>184</v>
      </c>
      <c r="E26" s="6">
        <f>F26/$F$28</f>
        <v>-0.34897256348521977</v>
      </c>
      <c r="F26">
        <f>F28-F27</f>
        <v>-901.63233114580589</v>
      </c>
    </row>
    <row r="27" spans="2:16" x14ac:dyDescent="0.35">
      <c r="C27" t="s">
        <v>185</v>
      </c>
      <c r="E27" s="6">
        <f>F27/$F$28</f>
        <v>1.3489725634852197</v>
      </c>
      <c r="F27">
        <f>P22</f>
        <v>3485.3091742223055</v>
      </c>
    </row>
    <row r="28" spans="2:16" x14ac:dyDescent="0.35">
      <c r="B28" s="7" t="s">
        <v>183</v>
      </c>
      <c r="C28" s="7"/>
      <c r="D28" s="7"/>
      <c r="E28" s="8">
        <f>F28/$F$28</f>
        <v>1</v>
      </c>
      <c r="F28" s="7">
        <f>SUM(G25:P25)</f>
        <v>2583.6768430764996</v>
      </c>
    </row>
    <row r="29" spans="2:16" x14ac:dyDescent="0.35">
      <c r="B29" t="s">
        <v>186</v>
      </c>
    </row>
    <row r="30" spans="2:16" x14ac:dyDescent="0.35">
      <c r="B30" t="s">
        <v>191</v>
      </c>
    </row>
    <row r="31" spans="2:16" x14ac:dyDescent="0.35">
      <c r="C31" t="s">
        <v>127</v>
      </c>
      <c r="F31">
        <f>-BS!F12</f>
        <v>-530.4</v>
      </c>
    </row>
    <row r="32" spans="2:16" x14ac:dyDescent="0.35">
      <c r="C32" t="s">
        <v>193</v>
      </c>
      <c r="F32" s="16">
        <v>-150</v>
      </c>
    </row>
    <row r="33" spans="2:16" x14ac:dyDescent="0.35">
      <c r="C33" t="s">
        <v>195</v>
      </c>
      <c r="F33" s="16">
        <v>-45</v>
      </c>
    </row>
    <row r="34" spans="2:16" x14ac:dyDescent="0.35">
      <c r="B34" t="s">
        <v>192</v>
      </c>
    </row>
    <row r="35" spans="2:16" x14ac:dyDescent="0.35">
      <c r="C35" t="s">
        <v>194</v>
      </c>
      <c r="F35" s="16">
        <v>50</v>
      </c>
    </row>
    <row r="36" spans="2:16" x14ac:dyDescent="0.35">
      <c r="C36" t="s">
        <v>101</v>
      </c>
      <c r="F36">
        <f>BS!F9</f>
        <v>136.39999999999998</v>
      </c>
    </row>
    <row r="37" spans="2:16" x14ac:dyDescent="0.35">
      <c r="C37" t="s">
        <v>196</v>
      </c>
      <c r="F37" s="16">
        <v>10</v>
      </c>
    </row>
    <row r="38" spans="2:16" x14ac:dyDescent="0.35">
      <c r="C38" t="s">
        <v>219</v>
      </c>
      <c r="F38">
        <f>Control!K134</f>
        <v>0.10599111999999999</v>
      </c>
    </row>
    <row r="39" spans="2:16" x14ac:dyDescent="0.35">
      <c r="B39" s="7" t="s">
        <v>187</v>
      </c>
      <c r="C39" s="7"/>
      <c r="D39" s="7"/>
      <c r="E39" s="7"/>
      <c r="F39" s="7">
        <f>SUM(F28:F38)</f>
        <v>2054.7828341964996</v>
      </c>
    </row>
    <row r="40" spans="2:16" x14ac:dyDescent="0.35">
      <c r="B40" t="s">
        <v>188</v>
      </c>
      <c r="E40">
        <f>Control!E17</f>
        <v>239.57029700000001</v>
      </c>
    </row>
    <row r="41" spans="2:16" x14ac:dyDescent="0.35">
      <c r="B41" t="s">
        <v>190</v>
      </c>
      <c r="E41">
        <f>Control!$J$133</f>
        <v>1.2862999999999999E-2</v>
      </c>
    </row>
    <row r="42" spans="2:16" x14ac:dyDescent="0.35">
      <c r="B42" t="s">
        <v>189</v>
      </c>
      <c r="E42" s="7"/>
      <c r="F42" s="7">
        <f>SUM(E40:E41)</f>
        <v>239.58316000000002</v>
      </c>
    </row>
    <row r="43" spans="2:16" x14ac:dyDescent="0.35">
      <c r="B43" s="7" t="s">
        <v>198</v>
      </c>
      <c r="C43" s="7"/>
      <c r="D43" s="7"/>
      <c r="E43" s="7"/>
      <c r="F43" s="31">
        <f>F39/F42</f>
        <v>8.5764910780728467</v>
      </c>
    </row>
    <row r="45" spans="2:16" x14ac:dyDescent="0.35">
      <c r="B45" s="32" t="s">
        <v>226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6.2" x14ac:dyDescent="0.5">
      <c r="G46" s="14">
        <f>G4</f>
        <v>45657</v>
      </c>
      <c r="H46" s="14">
        <f>H4</f>
        <v>46022</v>
      </c>
      <c r="I46" s="14">
        <f>I4</f>
        <v>46387</v>
      </c>
      <c r="J46" s="14">
        <f>J4</f>
        <v>46752</v>
      </c>
      <c r="K46" s="14">
        <f>K4</f>
        <v>47118</v>
      </c>
      <c r="L46" s="14">
        <f>L4</f>
        <v>47483</v>
      </c>
      <c r="M46" s="14">
        <f>M4</f>
        <v>47848</v>
      </c>
      <c r="N46" s="14">
        <f>N4</f>
        <v>48213</v>
      </c>
      <c r="O46" s="14">
        <f>O4</f>
        <v>48579</v>
      </c>
      <c r="P46" s="14">
        <f>P4</f>
        <v>48944</v>
      </c>
    </row>
    <row r="48" spans="2:16" x14ac:dyDescent="0.35">
      <c r="C48" t="s">
        <v>28</v>
      </c>
      <c r="G48">
        <f>IS!G4</f>
        <v>1820.5039999999999</v>
      </c>
      <c r="H48">
        <f>IS!H4</f>
        <v>2148.19472</v>
      </c>
      <c r="I48">
        <f>IS!I4</f>
        <v>2491.9058751999996</v>
      </c>
      <c r="J48">
        <f>IS!J4</f>
        <v>2865.6917564799992</v>
      </c>
      <c r="K48">
        <f>IS!K4</f>
        <v>3209.5747672575994</v>
      </c>
      <c r="L48">
        <f>IS!L4</f>
        <v>3530.5322439833599</v>
      </c>
      <c r="M48">
        <f>IS!M4</f>
        <v>3812.9748235020288</v>
      </c>
      <c r="N48">
        <f>IS!N4</f>
        <v>4041.7533129121507</v>
      </c>
      <c r="O48">
        <f>IS!O4</f>
        <v>4163.0059122995153</v>
      </c>
      <c r="P48">
        <f>IS!P4</f>
        <v>4287.8960896685012</v>
      </c>
    </row>
    <row r="49" spans="2:16" x14ac:dyDescent="0.35">
      <c r="C49" t="s">
        <v>168</v>
      </c>
      <c r="G49">
        <f>IS!G8+SUM(CFS!G5:G6)</f>
        <v>302.88004000000006</v>
      </c>
      <c r="H49">
        <f>IS!H8+SUM(CFS!H5:H6)</f>
        <v>352.99094424000009</v>
      </c>
      <c r="I49">
        <f>IS!I8+SUM(CFS!I5:I6)</f>
        <v>404.35679188479975</v>
      </c>
      <c r="J49">
        <f>IS!J8+SUM(CFS!J5:J6)</f>
        <v>465.01031066751989</v>
      </c>
      <c r="K49">
        <f>IS!K8+SUM(CFS!K5:K6)</f>
        <v>520.81154794762233</v>
      </c>
      <c r="L49">
        <f>IS!L8+SUM(CFS!L5:L6)</f>
        <v>572.89270274238459</v>
      </c>
      <c r="M49">
        <f>IS!M8+SUM(CFS!M5:M6)</f>
        <v>618.72411896177539</v>
      </c>
      <c r="N49">
        <f>IS!N8+SUM(CFS!N5:N6)</f>
        <v>655.84756609948215</v>
      </c>
      <c r="O49">
        <f>IS!O8+SUM(CFS!O5:O6)</f>
        <v>675.52299308246643</v>
      </c>
      <c r="P49">
        <f>IS!P8+SUM(CFS!P5:P6)</f>
        <v>695.78868287494072</v>
      </c>
    </row>
    <row r="50" spans="2:16" x14ac:dyDescent="0.35">
      <c r="C50" t="s">
        <v>169</v>
      </c>
      <c r="G50">
        <f>IS!G8</f>
        <v>214.38004000000006</v>
      </c>
      <c r="H50">
        <f>IS!H8</f>
        <v>248.56094424000008</v>
      </c>
      <c r="I50">
        <f>IS!I8</f>
        <v>283.21799188479974</v>
      </c>
      <c r="J50">
        <f>IS!J8</f>
        <v>325.70069066751989</v>
      </c>
      <c r="K50">
        <f>IS!K8</f>
        <v>364.78477354762242</v>
      </c>
      <c r="L50">
        <f>IS!L8</f>
        <v>401.26325090238458</v>
      </c>
      <c r="M50">
        <f>IS!M8</f>
        <v>433.36431097457535</v>
      </c>
      <c r="N50">
        <f>IS!N8</f>
        <v>459.36616963305016</v>
      </c>
      <c r="O50">
        <f>IS!O8</f>
        <v>473.14715472204142</v>
      </c>
      <c r="P50">
        <f>IS!P8</f>
        <v>487.341569363703</v>
      </c>
    </row>
    <row r="51" spans="2:16" x14ac:dyDescent="0.35">
      <c r="C51" t="s">
        <v>174</v>
      </c>
      <c r="G51">
        <f>DCF!G11</f>
        <v>160.39036183100004</v>
      </c>
      <c r="H51">
        <f>DCF!H11</f>
        <v>186.12187763716685</v>
      </c>
      <c r="I51">
        <f>DCF!I11</f>
        <v>212.21367670992186</v>
      </c>
      <c r="J51">
        <f>DCF!J11</f>
        <v>243.85042388592993</v>
      </c>
      <c r="K51">
        <f>DCF!K11</f>
        <v>272.94841911463811</v>
      </c>
      <c r="L51">
        <f>DCF!L11</f>
        <v>300.06279982473802</v>
      </c>
      <c r="M51">
        <f>DCF!M11</f>
        <v>324.06782381071707</v>
      </c>
      <c r="N51">
        <f>DCF!N11</f>
        <v>343.51189323936029</v>
      </c>
      <c r="O51">
        <f>DCF!O11</f>
        <v>353.81725003654094</v>
      </c>
      <c r="P51">
        <f>DCF!P11</f>
        <v>364.43176753763737</v>
      </c>
    </row>
    <row r="52" spans="2:16" x14ac:dyDescent="0.35">
      <c r="C52" t="s">
        <v>227</v>
      </c>
      <c r="G52">
        <f>IS!G14</f>
        <v>132.75407258120003</v>
      </c>
      <c r="H52">
        <f>IS!H14</f>
        <v>151.57077102401141</v>
      </c>
      <c r="I52">
        <f>IS!I14</f>
        <v>170.62234581023512</v>
      </c>
      <c r="J52">
        <f>IS!J14</f>
        <v>199.10620177287979</v>
      </c>
      <c r="K52">
        <f>IS!K14</f>
        <v>225.4269694221573</v>
      </c>
      <c r="L52">
        <f>IS!L14</f>
        <v>250.64049214455798</v>
      </c>
      <c r="M52">
        <f>IS!M14</f>
        <v>270.69173151612262</v>
      </c>
      <c r="N52">
        <f>IS!N14</f>
        <v>286.93323540709019</v>
      </c>
      <c r="O52">
        <f>IS!O14</f>
        <v>295.54123246930271</v>
      </c>
      <c r="P52">
        <f>IS!P14</f>
        <v>304.40746944338201</v>
      </c>
    </row>
    <row r="54" spans="2:16" x14ac:dyDescent="0.35">
      <c r="C54" t="str">
        <f>"EV/ "&amp;C48</f>
        <v>EV/ Revenue</v>
      </c>
      <c r="G54" s="35">
        <f t="shared" ref="G54:P54" si="9">$F$28/G48</f>
        <v>1.4192096491282082</v>
      </c>
      <c r="H54" s="36">
        <f t="shared" si="9"/>
        <v>1.2027200416340749</v>
      </c>
      <c r="I54" s="36">
        <f t="shared" si="9"/>
        <v>1.0368276220983406</v>
      </c>
      <c r="J54" s="36">
        <f t="shared" si="9"/>
        <v>0.90158923660725276</v>
      </c>
      <c r="K54" s="36">
        <f t="shared" si="9"/>
        <v>0.80499038982790416</v>
      </c>
      <c r="L54" s="36">
        <f t="shared" si="9"/>
        <v>0.73180944529809455</v>
      </c>
      <c r="M54" s="36">
        <f t="shared" si="9"/>
        <v>0.67760133823897639</v>
      </c>
      <c r="N54" s="36">
        <f t="shared" si="9"/>
        <v>0.63924654550846827</v>
      </c>
      <c r="O54" s="36">
        <f t="shared" si="9"/>
        <v>0.62062771408589157</v>
      </c>
      <c r="P54" s="36">
        <f t="shared" si="9"/>
        <v>0.60255117872416653</v>
      </c>
    </row>
    <row r="55" spans="2:16" x14ac:dyDescent="0.35">
      <c r="C55" t="str">
        <f t="shared" ref="C55:C57" si="10">"EV/ "&amp;C49</f>
        <v>EV/ EBITDA</v>
      </c>
      <c r="G55" s="34">
        <f t="shared" ref="G55:P55" si="11">$F$28/G49</f>
        <v>8.530363516448622</v>
      </c>
      <c r="H55" s="26">
        <f t="shared" si="11"/>
        <v>7.3193856251446681</v>
      </c>
      <c r="I55" s="26">
        <f t="shared" si="11"/>
        <v>6.3895967495275379</v>
      </c>
      <c r="J55" s="26">
        <f t="shared" si="11"/>
        <v>5.5561710865456835</v>
      </c>
      <c r="K55" s="26">
        <f t="shared" si="11"/>
        <v>4.9608670415586449</v>
      </c>
      <c r="L55" s="26">
        <f t="shared" si="11"/>
        <v>4.5098791286896773</v>
      </c>
      <c r="M55" s="26">
        <f t="shared" si="11"/>
        <v>4.1758140080459967</v>
      </c>
      <c r="N55" s="26">
        <f t="shared" si="11"/>
        <v>3.9394471774018824</v>
      </c>
      <c r="O55" s="26">
        <f t="shared" si="11"/>
        <v>3.8247059974775568</v>
      </c>
      <c r="P55" s="26">
        <f t="shared" si="11"/>
        <v>3.7133067936675297</v>
      </c>
    </row>
    <row r="56" spans="2:16" x14ac:dyDescent="0.35">
      <c r="C56" t="str">
        <f t="shared" si="10"/>
        <v>EV/ EBIT</v>
      </c>
      <c r="G56" s="34">
        <f t="shared" ref="G56:P56" si="12">$F$28/G50</f>
        <v>12.051853535788588</v>
      </c>
      <c r="H56" s="26">
        <f t="shared" si="12"/>
        <v>10.394540666782344</v>
      </c>
      <c r="I56" s="26">
        <f t="shared" si="12"/>
        <v>9.1225731313264244</v>
      </c>
      <c r="J56" s="26">
        <f t="shared" si="12"/>
        <v>7.9326722881099299</v>
      </c>
      <c r="K56" s="26">
        <f t="shared" si="12"/>
        <v>7.0827431143838631</v>
      </c>
      <c r="L56" s="26">
        <f t="shared" si="12"/>
        <v>6.4388573767126047</v>
      </c>
      <c r="M56" s="26">
        <f t="shared" si="12"/>
        <v>5.9619049784375964</v>
      </c>
      <c r="N56" s="26">
        <f t="shared" si="12"/>
        <v>5.6244386589033892</v>
      </c>
      <c r="O56" s="26">
        <f t="shared" si="12"/>
        <v>5.4606200571877599</v>
      </c>
      <c r="P56" s="26">
        <f t="shared" si="12"/>
        <v>5.3015728710560737</v>
      </c>
    </row>
    <row r="57" spans="2:16" x14ac:dyDescent="0.35">
      <c r="C57" t="str">
        <f t="shared" si="10"/>
        <v>EV/ NOPAT</v>
      </c>
      <c r="G57" s="34">
        <f t="shared" ref="G57:P57" si="13">$F$28/G51</f>
        <v>16.108678935451657</v>
      </c>
      <c r="H57" s="26">
        <f t="shared" si="13"/>
        <v>13.881639686191102</v>
      </c>
      <c r="I57" s="26">
        <f t="shared" si="13"/>
        <v>12.174883745161097</v>
      </c>
      <c r="J57" s="26">
        <f t="shared" si="13"/>
        <v>10.595334639586726</v>
      </c>
      <c r="K57" s="26">
        <f t="shared" si="13"/>
        <v>9.4658062188349135</v>
      </c>
      <c r="L57" s="26">
        <f t="shared" si="13"/>
        <v>8.6104536936454128</v>
      </c>
      <c r="M57" s="26">
        <f t="shared" si="13"/>
        <v>7.9726423089309373</v>
      </c>
      <c r="N57" s="26">
        <f t="shared" si="13"/>
        <v>7.5213606688027674</v>
      </c>
      <c r="O57" s="26">
        <f t="shared" si="13"/>
        <v>7.3022919114590001</v>
      </c>
      <c r="P57" s="26">
        <f t="shared" si="13"/>
        <v>7.0896037975330062</v>
      </c>
    </row>
    <row r="58" spans="2:16" x14ac:dyDescent="0.35">
      <c r="C58" t="str">
        <f>"P / "&amp;C52</f>
        <v>P / Earnings</v>
      </c>
      <c r="G58" s="37">
        <f t="shared" ref="G58:P58" si="14">$F$39/G52</f>
        <v>15.478115241546929</v>
      </c>
      <c r="H58" s="37">
        <f t="shared" si="14"/>
        <v>13.556590233818806</v>
      </c>
      <c r="I58" s="37">
        <f t="shared" si="14"/>
        <v>12.042870612515276</v>
      </c>
      <c r="J58" s="37">
        <f t="shared" si="14"/>
        <v>10.320034312845705</v>
      </c>
      <c r="K58" s="37">
        <f t="shared" si="14"/>
        <v>9.1150710115279328</v>
      </c>
      <c r="L58" s="37">
        <f t="shared" si="14"/>
        <v>8.1981279904740809</v>
      </c>
      <c r="M58" s="37">
        <f t="shared" si="14"/>
        <v>7.5908592504389629</v>
      </c>
      <c r="N58" s="37">
        <f t="shared" si="14"/>
        <v>7.1611879721122236</v>
      </c>
      <c r="O58" s="37">
        <f t="shared" si="14"/>
        <v>6.9526096816623575</v>
      </c>
      <c r="P58" s="37">
        <f t="shared" si="14"/>
        <v>6.7501064870508278</v>
      </c>
    </row>
    <row r="61" spans="2:16" x14ac:dyDescent="0.35">
      <c r="B61" s="15" t="s">
        <v>176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x14ac:dyDescent="0.35">
      <c r="B62" t="s">
        <v>177</v>
      </c>
    </row>
    <row r="63" spans="2:16" x14ac:dyDescent="0.35">
      <c r="C63" t="str">
        <f>IS!C12</f>
        <v>Taxation</v>
      </c>
      <c r="E63">
        <f>IS!E12</f>
        <v>-25.535999999999998</v>
      </c>
      <c r="F63">
        <f>IS!F12</f>
        <v>-33.189</v>
      </c>
      <c r="G63">
        <f>IS!G12</f>
        <v>-46.643322798800021</v>
      </c>
      <c r="H63">
        <f>IS!H12</f>
        <v>-53.254595224652661</v>
      </c>
      <c r="I63">
        <f>IS!I12</f>
        <v>-59.948391771163692</v>
      </c>
      <c r="J63">
        <f>IS!J12</f>
        <v>-69.956233055336142</v>
      </c>
      <c r="K63">
        <f>IS!K12</f>
        <v>-79.204070337514736</v>
      </c>
      <c r="L63">
        <f>IS!L12</f>
        <v>-88.062875618358206</v>
      </c>
      <c r="M63">
        <f>IS!M12</f>
        <v>-95.10790566782687</v>
      </c>
      <c r="N63">
        <f>IS!N12</f>
        <v>-100.81438000789656</v>
      </c>
      <c r="O63">
        <f>IS!O12</f>
        <v>-103.83881140813338</v>
      </c>
      <c r="P63">
        <f>IS!P12</f>
        <v>-106.95397575037747</v>
      </c>
    </row>
    <row r="64" spans="2:16" x14ac:dyDescent="0.35">
      <c r="C64" t="str">
        <f>CFS!C15</f>
        <v>Net interest paid</v>
      </c>
      <c r="E64">
        <f>CFS!E15</f>
        <v>-14.899999999999999</v>
      </c>
      <c r="F64">
        <f>CFS!F15</f>
        <v>-21.9</v>
      </c>
      <c r="G64">
        <f>CFS!G15</f>
        <v>-34.982644620000009</v>
      </c>
      <c r="H64">
        <f>CFS!H15</f>
        <v>-43.735577991336008</v>
      </c>
      <c r="I64">
        <f>CFS!I15</f>
        <v>-52.647254303400928</v>
      </c>
      <c r="J64">
        <f>CFS!J15</f>
        <v>-56.63825583930393</v>
      </c>
      <c r="K64">
        <f>CFS!K15</f>
        <v>-60.153733787950387</v>
      </c>
      <c r="L64">
        <f>CFS!L15</f>
        <v>-62.559883139468397</v>
      </c>
      <c r="M64">
        <f>CFS!M15</f>
        <v>-67.564673790625861</v>
      </c>
      <c r="N64">
        <f>CFS!N15</f>
        <v>-71.618554218063451</v>
      </c>
      <c r="O64">
        <f>CFS!O15</f>
        <v>-73.767110844605341</v>
      </c>
      <c r="P64">
        <f>CFS!P15</f>
        <v>-75.980124169943522</v>
      </c>
    </row>
    <row r="65" spans="3:16" x14ac:dyDescent="0.35">
      <c r="C65" t="s">
        <v>14</v>
      </c>
      <c r="E65" s="6">
        <f t="shared" ref="E65:P65" si="15">TaxRate</f>
        <v>0.21</v>
      </c>
      <c r="F65" s="6">
        <f t="shared" si="15"/>
        <v>0.21</v>
      </c>
      <c r="G65" s="6">
        <f t="shared" si="15"/>
        <v>0.21</v>
      </c>
      <c r="H65" s="6">
        <f t="shared" si="15"/>
        <v>0.21</v>
      </c>
      <c r="I65" s="6">
        <f t="shared" si="15"/>
        <v>0.21</v>
      </c>
      <c r="J65" s="6">
        <f t="shared" si="15"/>
        <v>0.21</v>
      </c>
      <c r="K65" s="6">
        <f t="shared" si="15"/>
        <v>0.21</v>
      </c>
      <c r="L65" s="6">
        <f t="shared" si="15"/>
        <v>0.21</v>
      </c>
      <c r="M65" s="6">
        <f t="shared" si="15"/>
        <v>0.21</v>
      </c>
      <c r="N65" s="6">
        <f t="shared" si="15"/>
        <v>0.21</v>
      </c>
      <c r="O65" s="6">
        <f t="shared" si="15"/>
        <v>0.21</v>
      </c>
      <c r="P65" s="6">
        <f t="shared" si="15"/>
        <v>0.21</v>
      </c>
    </row>
    <row r="66" spans="3:16" x14ac:dyDescent="0.35">
      <c r="C66" t="s">
        <v>178</v>
      </c>
      <c r="E66">
        <f>-E64*E65</f>
        <v>3.1289999999999996</v>
      </c>
      <c r="F66">
        <f t="shared" ref="F66:P66" si="16">-F64*F65</f>
        <v>4.5989999999999993</v>
      </c>
      <c r="G66">
        <f t="shared" si="16"/>
        <v>7.3463553702000013</v>
      </c>
      <c r="H66">
        <f t="shared" si="16"/>
        <v>9.1844713781805609</v>
      </c>
      <c r="I66">
        <f t="shared" si="16"/>
        <v>11.055923403714194</v>
      </c>
      <c r="J66">
        <f t="shared" si="16"/>
        <v>11.894033726253825</v>
      </c>
      <c r="K66">
        <f t="shared" si="16"/>
        <v>12.632284095469581</v>
      </c>
      <c r="L66">
        <f t="shared" si="16"/>
        <v>13.137575459288362</v>
      </c>
      <c r="M66">
        <f t="shared" si="16"/>
        <v>14.18858149603143</v>
      </c>
      <c r="N66">
        <f t="shared" si="16"/>
        <v>15.039896385793325</v>
      </c>
      <c r="O66">
        <f t="shared" si="16"/>
        <v>15.491093277367121</v>
      </c>
      <c r="P66">
        <f t="shared" si="16"/>
        <v>15.955826075688138</v>
      </c>
    </row>
    <row r="67" spans="3:16" x14ac:dyDescent="0.35">
      <c r="C67" s="7" t="s">
        <v>179</v>
      </c>
      <c r="D67" s="7"/>
      <c r="E67" s="7">
        <f>E63-E66</f>
        <v>-28.664999999999999</v>
      </c>
      <c r="F67" s="7">
        <f t="shared" ref="F67:P67" si="17">F63-F66</f>
        <v>-37.787999999999997</v>
      </c>
      <c r="G67" s="7">
        <f t="shared" si="17"/>
        <v>-53.989678169000022</v>
      </c>
      <c r="H67" s="7">
        <f t="shared" si="17"/>
        <v>-62.439066602833222</v>
      </c>
      <c r="I67" s="7">
        <f t="shared" si="17"/>
        <v>-71.004315174877888</v>
      </c>
      <c r="J67" s="7">
        <f t="shared" si="17"/>
        <v>-81.850266781589966</v>
      </c>
      <c r="K67" s="7">
        <f t="shared" si="17"/>
        <v>-91.836354432984322</v>
      </c>
      <c r="L67" s="7">
        <f t="shared" si="17"/>
        <v>-101.20045107764656</v>
      </c>
      <c r="M67" s="7">
        <f t="shared" si="17"/>
        <v>-109.2964871638583</v>
      </c>
      <c r="N67" s="7">
        <f t="shared" si="17"/>
        <v>-115.85427639368989</v>
      </c>
      <c r="O67" s="7">
        <f t="shared" si="17"/>
        <v>-119.32990468550051</v>
      </c>
      <c r="P67" s="7">
        <f t="shared" si="17"/>
        <v>-122.9098018260656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3C5B-5F96-4FDE-A7AC-FF36F902D6B9}">
  <sheetPr codeName="Sheet7"/>
  <dimension ref="A1:Z3"/>
  <sheetViews>
    <sheetView showGridLines="0" zoomScale="125" zoomScaleNormal="125" workbookViewId="0"/>
  </sheetViews>
  <sheetFormatPr defaultColWidth="0" defaultRowHeight="14.4" x14ac:dyDescent="0.35"/>
  <cols>
    <col min="1" max="2" width="1.77734375" customWidth="1"/>
    <col min="3" max="3" width="30.77734375" customWidth="1"/>
    <col min="4" max="4" width="0.88671875" customWidth="1"/>
    <col min="5" max="17" width="8.88671875" customWidth="1"/>
    <col min="18" max="18" width="1.77734375" customWidth="1"/>
    <col min="19" max="26" width="8.88671875" customWidth="1"/>
    <col min="27" max="16384" width="8.88671875" hidden="1"/>
  </cols>
  <sheetData>
    <row r="1" spans="1:17" x14ac:dyDescent="0.35">
      <c r="A1" s="1"/>
    </row>
    <row r="2" spans="1:17" x14ac:dyDescent="0.35">
      <c r="E2">
        <f>IS!E2</f>
        <v>-1</v>
      </c>
      <c r="F2">
        <f>IS!F2</f>
        <v>0</v>
      </c>
      <c r="G2">
        <f>IS!G2</f>
        <v>1</v>
      </c>
      <c r="H2">
        <f>IS!H2</f>
        <v>2</v>
      </c>
      <c r="I2">
        <f>IS!I2</f>
        <v>3</v>
      </c>
      <c r="J2">
        <f>IS!J2</f>
        <v>4</v>
      </c>
      <c r="K2">
        <f>IS!K2</f>
        <v>5</v>
      </c>
      <c r="L2">
        <f>IS!L2</f>
        <v>6</v>
      </c>
      <c r="M2">
        <f>IS!M2</f>
        <v>7</v>
      </c>
      <c r="N2">
        <f>IS!N2</f>
        <v>8</v>
      </c>
      <c r="O2">
        <f>IS!O2</f>
        <v>9</v>
      </c>
      <c r="P2">
        <f>IS!P2</f>
        <v>10</v>
      </c>
      <c r="Q2" t="e">
        <f>IS!#REF!</f>
        <v>#REF!</v>
      </c>
    </row>
    <row r="3" spans="1:17" ht="16.2" x14ac:dyDescent="0.5">
      <c r="E3" s="14">
        <f>IS!E3</f>
        <v>44926</v>
      </c>
      <c r="F3" s="14">
        <f>IS!F3</f>
        <v>45291</v>
      </c>
      <c r="G3" s="14">
        <f>IS!G3</f>
        <v>45657</v>
      </c>
      <c r="H3" s="14">
        <f>IS!H3</f>
        <v>46022</v>
      </c>
      <c r="I3" s="14">
        <f>IS!I3</f>
        <v>46387</v>
      </c>
      <c r="J3" s="14">
        <f>IS!J3</f>
        <v>46752</v>
      </c>
      <c r="K3" s="14">
        <f>IS!K3</f>
        <v>47118</v>
      </c>
      <c r="L3" s="14">
        <f>IS!L3</f>
        <v>47483</v>
      </c>
      <c r="M3" s="14">
        <f>IS!M3</f>
        <v>47848</v>
      </c>
      <c r="N3" s="14">
        <f>IS!N3</f>
        <v>48213</v>
      </c>
      <c r="O3" s="14">
        <f>IS!O3</f>
        <v>48579</v>
      </c>
      <c r="P3" s="14">
        <f>IS!P3</f>
        <v>48944</v>
      </c>
      <c r="Q3" s="14" t="e">
        <f>IS!#REF!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Control</vt:lpstr>
      <vt:lpstr>IS</vt:lpstr>
      <vt:lpstr>CFS</vt:lpstr>
      <vt:lpstr>BS</vt:lpstr>
      <vt:lpstr>DCF</vt:lpstr>
      <vt:lpstr>TEMPLATE</vt:lpstr>
      <vt:lpstr>CD</vt:lpstr>
      <vt:lpstr>CoName</vt:lpstr>
      <vt:lpstr>g</vt:lpstr>
      <vt:lpstr>HYE</vt:lpstr>
      <vt:lpstr>Stub</vt:lpstr>
      <vt:lpstr>SwitchScenario</vt:lpstr>
      <vt:lpstr>TaxRate</vt:lpstr>
      <vt:lpstr>Tests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Robinson</dc:creator>
  <cp:lastModifiedBy>Geoff Robinson</cp:lastModifiedBy>
  <dcterms:created xsi:type="dcterms:W3CDTF">2023-05-22T14:10:19Z</dcterms:created>
  <dcterms:modified xsi:type="dcterms:W3CDTF">2023-09-10T15:52:45Z</dcterms:modified>
</cp:coreProperties>
</file>